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ikh\Desktop\"/>
    </mc:Choice>
  </mc:AlternateContent>
  <bookViews>
    <workbookView xWindow="0" yWindow="0" windowWidth="38400" windowHeight="17850"/>
  </bookViews>
  <sheets>
    <sheet name="Dateneingabe" sheetId="1" r:id="rId1"/>
    <sheet name="Grafiken"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2" l="1"/>
  <c r="E7" i="2" s="1"/>
  <c r="E8" i="2" s="1"/>
  <c r="E9" i="2" s="1"/>
  <c r="E10" i="2" s="1"/>
  <c r="E11" i="2" s="1"/>
  <c r="E12" i="2" s="1"/>
  <c r="E13" i="2" s="1"/>
  <c r="E14" i="2" s="1"/>
  <c r="E15" i="2" s="1"/>
  <c r="E16" i="2" s="1"/>
  <c r="E17" i="2" s="1"/>
  <c r="E18" i="2" s="1"/>
  <c r="E19" i="2" s="1"/>
  <c r="E20" i="2" s="1"/>
  <c r="E21" i="2" s="1"/>
  <c r="E22" i="2" s="1"/>
  <c r="E23" i="2" s="1"/>
  <c r="E24" i="2" s="1"/>
  <c r="E25" i="2" s="1"/>
  <c r="Q17" i="1"/>
  <c r="Q18" i="1" s="1"/>
  <c r="K21" i="1"/>
  <c r="K22" i="1" s="1"/>
  <c r="C6" i="2" s="1"/>
  <c r="C7" i="2" s="1"/>
  <c r="C8" i="2" s="1"/>
  <c r="C9" i="2" s="1"/>
  <c r="C10" i="2" s="1"/>
  <c r="C11" i="2" s="1"/>
  <c r="C12" i="2" s="1"/>
  <c r="C13" i="2" s="1"/>
  <c r="C14" i="2" s="1"/>
  <c r="C15" i="2" s="1"/>
  <c r="C16" i="2" s="1"/>
  <c r="C17" i="2" s="1"/>
  <c r="C18" i="2" s="1"/>
  <c r="C19" i="2" s="1"/>
  <c r="C20" i="2" s="1"/>
  <c r="C21" i="2" s="1"/>
  <c r="C22" i="2" s="1"/>
  <c r="C23" i="2" s="1"/>
  <c r="C24" i="2" s="1"/>
  <c r="C25" i="2" s="1"/>
  <c r="F25" i="2" l="1"/>
  <c r="F6" i="2"/>
  <c r="G6" i="2" s="1"/>
  <c r="F24" i="2"/>
  <c r="F12" i="2"/>
  <c r="F19" i="2"/>
  <c r="F15" i="2"/>
  <c r="F11" i="2"/>
  <c r="F7" i="2"/>
  <c r="G7" i="2" s="1"/>
  <c r="G8" i="2" s="1"/>
  <c r="F20" i="2"/>
  <c r="F16" i="2"/>
  <c r="F8" i="2"/>
  <c r="F23" i="2"/>
  <c r="F22" i="2"/>
  <c r="F18" i="2"/>
  <c r="F14" i="2"/>
  <c r="F10" i="2"/>
  <c r="F21" i="2"/>
  <c r="F17" i="2"/>
  <c r="F13" i="2"/>
  <c r="F9" i="2"/>
  <c r="D14" i="1"/>
  <c r="D19" i="1"/>
  <c r="D12" i="1"/>
  <c r="G9" i="2" l="1"/>
  <c r="G10" i="2" s="1"/>
  <c r="G11" i="2" s="1"/>
  <c r="G12" i="2" s="1"/>
  <c r="G13" i="2" s="1"/>
  <c r="G14" i="2" s="1"/>
  <c r="G15" i="2" s="1"/>
  <c r="G16" i="2" s="1"/>
  <c r="G17" i="2" s="1"/>
  <c r="G18" i="2" s="1"/>
  <c r="G19" i="2" s="1"/>
  <c r="G20" i="2" s="1"/>
  <c r="G21" i="2" s="1"/>
  <c r="G22" i="2" s="1"/>
  <c r="G23" i="2" s="1"/>
  <c r="G24" i="2" s="1"/>
  <c r="G25" i="2" s="1"/>
  <c r="B6" i="2"/>
  <c r="B7" i="2" s="1"/>
  <c r="B8" i="2" s="1"/>
  <c r="B9" i="2" s="1"/>
  <c r="B10" i="2" s="1"/>
  <c r="B11" i="2" s="1"/>
  <c r="B12" i="2" s="1"/>
  <c r="B13" i="2" s="1"/>
  <c r="B14" i="2" s="1"/>
  <c r="B15" i="2" s="1"/>
  <c r="B16" i="2" s="1"/>
  <c r="B17" i="2" s="1"/>
  <c r="B18" i="2" s="1"/>
  <c r="B19" i="2" s="1"/>
  <c r="B20" i="2" s="1"/>
  <c r="B21" i="2" s="1"/>
  <c r="B22" i="2" s="1"/>
  <c r="B23" i="2" s="1"/>
  <c r="B24" i="2" s="1"/>
  <c r="B25" i="2" s="1"/>
  <c r="F27" i="2"/>
  <c r="Q21" i="1" s="1"/>
  <c r="Q22" i="1" s="1"/>
  <c r="D21" i="1"/>
  <c r="F25" i="1" l="1"/>
  <c r="F26" i="1" s="1"/>
  <c r="D22" i="1"/>
</calcChain>
</file>

<file path=xl/comments1.xml><?xml version="1.0" encoding="utf-8"?>
<comments xmlns="http://schemas.openxmlformats.org/spreadsheetml/2006/main">
  <authors>
    <author>Maik Hanau</author>
  </authors>
  <commentList>
    <comment ref="D10" authorId="0" shapeId="0">
      <text>
        <r>
          <rPr>
            <b/>
            <sz val="9"/>
            <color indexed="81"/>
            <rFont val="Segoe UI"/>
            <family val="2"/>
          </rPr>
          <t>Hier einfach die Leistung der Anlage in kWp eintragen</t>
        </r>
      </text>
    </comment>
    <comment ref="K10" authorId="0" shapeId="0">
      <text>
        <r>
          <rPr>
            <b/>
            <sz val="9"/>
            <color indexed="81"/>
            <rFont val="Segoe UI"/>
            <family val="2"/>
          </rPr>
          <t>Dies ist die monatliche Miete, die an den Anbieter für die entsprechende PV-Anlage zu zahlen ist.
Hier sind in der Regel sämtliche laufende Kosten, Anschaffung, Installation usw. mit enthalten.</t>
        </r>
      </text>
    </comment>
    <comment ref="Q10" authorId="0" shapeId="0">
      <text>
        <r>
          <rPr>
            <b/>
            <sz val="9"/>
            <color indexed="81"/>
            <rFont val="Segoe UI"/>
            <family val="2"/>
          </rPr>
          <t>Tragt hier einfach den aktuellen Strompreis ein</t>
        </r>
      </text>
    </comment>
    <comment ref="D11" authorId="0" shapeId="0">
      <text>
        <r>
          <rPr>
            <b/>
            <sz val="9"/>
            <color indexed="81"/>
            <rFont val="Segoe UI"/>
            <charset val="1"/>
          </rPr>
          <t>Hier den Anschaffungspreis inkl. der Installationskosten eintragen.
Also praktisch die Gesamtkosten für die installierte und betriebsbereite PV-Anlage</t>
        </r>
        <r>
          <rPr>
            <sz val="9"/>
            <color indexed="81"/>
            <rFont val="Segoe UI"/>
            <charset val="1"/>
          </rPr>
          <t xml:space="preserve">
</t>
        </r>
      </text>
    </comment>
    <comment ref="K11" authorId="0" shapeId="0">
      <text>
        <r>
          <rPr>
            <b/>
            <sz val="9"/>
            <color indexed="81"/>
            <rFont val="Segoe UI"/>
            <charset val="1"/>
          </rPr>
          <t>Hier tragt ihr die Vertragslaufzeit für die Miet-PV-Anlage ein.</t>
        </r>
      </text>
    </comment>
    <comment ref="Q11" authorId="0" shapeId="0">
      <text>
        <r>
          <rPr>
            <b/>
            <sz val="9"/>
            <color indexed="81"/>
            <rFont val="Segoe UI"/>
            <family val="2"/>
          </rPr>
          <t>Hier sollte die zu erwartende Preissteigerung für den Strom eingetragen werden.
Im Augenblick (2021) liegen wir bei 3% bis 4% aber dieser Wert kann natürlich in Zukunft noch steigen….</t>
        </r>
      </text>
    </comment>
    <comment ref="D12" authorId="0" shapeId="0">
      <text>
        <r>
          <rPr>
            <b/>
            <sz val="9"/>
            <color indexed="81"/>
            <rFont val="Segoe UI"/>
            <charset val="1"/>
          </rPr>
          <t>Dieses Feld dient nur zur Orientierung wie viel euch die PV-Anlage pro installiertem kWp kostet.
Typischerweise liegt der Preis bei kleinen Anlagen &lt;10kWp bei rund 1800-2000 EUR/kWp
Bei größeren Anlagen sinkt der Preis dann in etwa in Richtung 1500 WUE/kWp</t>
        </r>
        <r>
          <rPr>
            <sz val="9"/>
            <color indexed="81"/>
            <rFont val="Segoe UI"/>
            <charset val="1"/>
          </rPr>
          <t xml:space="preserve">
</t>
        </r>
      </text>
    </comment>
    <comment ref="K13" authorId="0" shapeId="0">
      <text>
        <r>
          <rPr>
            <b/>
            <sz val="9"/>
            <color indexed="81"/>
            <rFont val="Segoe UI"/>
            <charset val="1"/>
          </rPr>
          <t>Manche Anbieter nehmen zusätzliche Gebühren für z.B. die Einrichtung eines Zählerfeldes oder den Anschluss an die Hausverteilung.
Diese Extrakosten einfach hier eintragen.</t>
        </r>
      </text>
    </comment>
    <comment ref="Q13" authorId="0" shapeId="0">
      <text>
        <r>
          <rPr>
            <b/>
            <sz val="9"/>
            <color indexed="81"/>
            <rFont val="Segoe UI"/>
            <family val="2"/>
          </rPr>
          <t>Hier tragt ihr die Einspeisevergütung ein, die ihr pro eingespeister kWh bekommt</t>
        </r>
      </text>
    </comment>
    <comment ref="D14" authorId="0" shapeId="0">
      <text>
        <r>
          <rPr>
            <b/>
            <sz val="9"/>
            <color indexed="81"/>
            <rFont val="Segoe UI"/>
            <charset val="1"/>
          </rPr>
          <t>Dies sind die groben Kosten, die Ihr für einen Kredit über die Summe des Anlagenpreises rechnen müsst.
Ich nehme eine Laufzeit von 60 Monaten an - dann liegt man bei etwa 4% "Aufpreis"
Bei abweichenden Kreditbedingungen sollte der Mehrbetrag einfach von Hand eingetragen werden.</t>
        </r>
      </text>
    </comment>
    <comment ref="K14" authorId="0" shapeId="0">
      <text>
        <r>
          <rPr>
            <b/>
            <sz val="9"/>
            <color indexed="81"/>
            <rFont val="Segoe UI"/>
            <charset val="1"/>
          </rPr>
          <t>Manche Anbieter wollen am Ende der Vertragslaufzeit eine "Ablösesumme" (etwa 30% bis 40% vom Neuwert) von euch, damit ihr die Anlage behalten dürft.
Diese Summe solltet ihr in dem Fall einfach hier mit eintragen.</t>
        </r>
      </text>
    </comment>
    <comment ref="Q15" authorId="0" shapeId="0">
      <text>
        <r>
          <rPr>
            <b/>
            <sz val="9"/>
            <color indexed="81"/>
            <rFont val="Segoe UI"/>
            <family val="2"/>
          </rPr>
          <t xml:space="preserve">Die Eigenverbrauchsquote ist schwer pauschal anzugeben da sie von vielen Umgebungsbedingungen wie den Stromverbrauch, das Nutzungsverhalten usw abhängt.
Pauschal kann man nur sagen dass dieser Wert sinkt, je größer die PV-Anlage wird.
Bei kleinen PV-Anlagen &lt;5kWp kommt man grob auf Eigenverbrauchsquoten von 45% bis 55%
Zwischen 5kWp und 10kWp liegt man meist um 35% bis 45%
Ab 15kWp oder 20kWp geht es dann schnell in die Richtung 20%
Aber es kommt halt auch immer auf den Verbrauch an...
</t>
        </r>
      </text>
    </comment>
    <comment ref="D17" authorId="0" shapeId="0">
      <text>
        <r>
          <rPr>
            <b/>
            <sz val="9"/>
            <color indexed="81"/>
            <rFont val="Segoe UI"/>
            <charset val="1"/>
          </rPr>
          <t>Die Kosten für die Versicherung richtet sich meist nach der Region und auch der Anlagengröße.
Typischerweise liegt die Versicherung zwischen 50,- und 150,- EUR pro Jahr</t>
        </r>
        <r>
          <rPr>
            <sz val="9"/>
            <color indexed="81"/>
            <rFont val="Segoe UI"/>
            <charset val="1"/>
          </rPr>
          <t xml:space="preserve">
</t>
        </r>
      </text>
    </comment>
    <comment ref="Q17" authorId="0" shapeId="0">
      <text>
        <r>
          <rPr>
            <b/>
            <sz val="9"/>
            <color indexed="81"/>
            <rFont val="Segoe UI"/>
            <family val="2"/>
          </rPr>
          <t>Zur Orientierung - dieser Wert gibt den Eigenverbrauch in kWh, in Abhängigkeit zur gewählten Eigenverbrauchsquote an</t>
        </r>
      </text>
    </comment>
    <comment ref="D18" authorId="0" shapeId="0">
      <text>
        <r>
          <rPr>
            <b/>
            <sz val="9"/>
            <color indexed="81"/>
            <rFont val="Segoe UI"/>
            <charset val="1"/>
          </rPr>
          <t>Die Kosten für die Wartung der Anlage.
Im Regelfall schließt man dafür einen Wartungsvertrag ab der rund 100,- EUR pro Jahr kostet</t>
        </r>
      </text>
    </comment>
    <comment ref="Q18" authorId="0" shapeId="0">
      <text>
        <r>
          <rPr>
            <b/>
            <sz val="9"/>
            <color indexed="81"/>
            <rFont val="Segoe UI"/>
            <family val="2"/>
          </rPr>
          <t>Zur Orientierung - dieser Wert gibt die Einspeisung in kWh, in Abhängigkeit zur gewählten Eigenverbrauchsquote an.</t>
        </r>
      </text>
    </comment>
    <comment ref="D19" authorId="0" shapeId="0">
      <text>
        <r>
          <rPr>
            <b/>
            <sz val="9"/>
            <color indexed="81"/>
            <rFont val="Segoe UI"/>
            <charset val="1"/>
          </rPr>
          <t>Für die Instandhaltung der Anlage, also Ersatzteile (z.B. neue Wechselrichter) und Reparaturen sollte man pro Jahr etwa 1,5% vom Anschaffungspreis zurücklegen</t>
        </r>
      </text>
    </comment>
    <comment ref="D21" authorId="0" shapeId="0">
      <text>
        <r>
          <rPr>
            <b/>
            <sz val="9"/>
            <color indexed="81"/>
            <rFont val="Segoe UI"/>
            <charset val="1"/>
          </rPr>
          <t>Dies sind die resultierenden Gesamtkosten eurer eigenen PV-Anlage über einen Zeitraum von z.B. 20 Jahren (richtet sich für den besseren Vergleich nach der Eingabe unter Option 2 - mieten - Vertragslaufzeit)
In diesem Betrag sind Anschaffungskosten, Kreditkosten und laufende Kosten enthalten.</t>
        </r>
      </text>
    </comment>
    <comment ref="K21" authorId="0" shapeId="0">
      <text>
        <r>
          <rPr>
            <b/>
            <sz val="9"/>
            <color indexed="81"/>
            <rFont val="Segoe UI"/>
            <charset val="1"/>
          </rPr>
          <t>Dies sind dann die resultierenden Gesamtkosten der Mit-PV-Anlage über die angegebene Vertragslaufzeit.</t>
        </r>
      </text>
    </comment>
    <comment ref="Q21" authorId="0" shapeId="0">
      <text>
        <r>
          <rPr>
            <b/>
            <sz val="9"/>
            <color indexed="81"/>
            <rFont val="Segoe UI"/>
            <charset val="1"/>
          </rPr>
          <t>In Abhängigkeit vom Strompreis und der angegebenen Strompreissteigerung ergibt sich, abhängig von der Einspeisevergütung und der Eigenverbrauchsquote ein entsprechendes Einsparpotential der Anlage (pro Jahr)
Die Angabe bezieht sich dabei auf die gesamte Vertragslaufzeit (z.B. 20 Jahre) um so die Preissteigerungen mit einzubeziehen.
Es ist zu beachten, dass nach 20 Jahren die Einspeisevergütung wegfällt und dadurch ein Teil der Einsparungen wegfallen.</t>
        </r>
      </text>
    </comment>
    <comment ref="D22" authorId="0" shapeId="0">
      <text>
        <r>
          <rPr>
            <b/>
            <sz val="9"/>
            <color indexed="81"/>
            <rFont val="Segoe UI"/>
            <charset val="1"/>
          </rPr>
          <t>Dies sind - nur zur Orientierung - die sich daraus ergebende Kosten pro Monat, die euch die eigene PV-Anlage kostet.</t>
        </r>
        <r>
          <rPr>
            <sz val="9"/>
            <color indexed="81"/>
            <rFont val="Segoe UI"/>
            <charset val="1"/>
          </rPr>
          <t xml:space="preserve">
</t>
        </r>
      </text>
    </comment>
    <comment ref="K22" authorId="0" shapeId="0">
      <text>
        <r>
          <rPr>
            <b/>
            <sz val="9"/>
            <color indexed="81"/>
            <rFont val="Segoe UI"/>
            <charset val="1"/>
          </rPr>
          <t>Und hier - zur besseren Orientierung - die "realen" monatlichen Kosten der Mietanlage, wenn man die Initialkosten und Ablösekosten mit einrechnet.</t>
        </r>
        <r>
          <rPr>
            <sz val="9"/>
            <color indexed="81"/>
            <rFont val="Segoe UI"/>
            <charset val="1"/>
          </rPr>
          <t xml:space="preserve">
</t>
        </r>
      </text>
    </comment>
    <comment ref="Q22" authorId="0" shapeId="0">
      <text>
        <r>
          <rPr>
            <b/>
            <sz val="9"/>
            <color indexed="81"/>
            <rFont val="Segoe UI"/>
            <charset val="1"/>
          </rPr>
          <t xml:space="preserve">Hier ist noch einmal das gesamte Einsparpotential der Anlage (über z.B. 20 Jahre) auf den einzelnen Monat heruntergerechnet.
Dieser Wert ist ein guter Vergleichswert um zu ermitteln, ob sich die Investition in eine PV-Anlage oder auch die Miete einer Anlage tatsächlich "lohnt"
Liegen die monatlichen Kosten von Option 1 oder Option 2 über diesem Wert - wird man unter den angegeben Bedingungen KEINEN GEWINN mit der PV-Anlage erzielen sondern nur KOSTEN verursachen!
</t>
        </r>
      </text>
    </comment>
  </commentList>
</comments>
</file>

<file path=xl/sharedStrings.xml><?xml version="1.0" encoding="utf-8"?>
<sst xmlns="http://schemas.openxmlformats.org/spreadsheetml/2006/main" count="67" uniqueCount="53">
  <si>
    <t>https://www.youtube.com/c/DerFachwerker</t>
  </si>
  <si>
    <t>EUR</t>
  </si>
  <si>
    <r>
      <t>Maik Hanau (</t>
    </r>
    <r>
      <rPr>
        <i/>
        <sz val="11"/>
        <color theme="1"/>
        <rFont val="Calibri"/>
        <family val="2"/>
        <scheme val="minor"/>
      </rPr>
      <t>Der Fachwerker</t>
    </r>
    <r>
      <rPr>
        <sz val="11"/>
        <color theme="1"/>
        <rFont val="Calibri"/>
        <family val="2"/>
        <scheme val="minor"/>
      </rPr>
      <t>)</t>
    </r>
  </si>
  <si>
    <t xml:space="preserve">Anlagenmiete: </t>
  </si>
  <si>
    <t>Auswertung:</t>
  </si>
  <si>
    <t>Kaufen</t>
  </si>
  <si>
    <t>Mieten</t>
  </si>
  <si>
    <t>https://www.der-fachwerker-saniert.de/tool_downloads</t>
  </si>
  <si>
    <t>1.0</t>
  </si>
  <si>
    <t xml:space="preserve">Autor: </t>
  </si>
  <si>
    <t xml:space="preserve">Download: </t>
  </si>
  <si>
    <t xml:space="preserve">YouTube: </t>
  </si>
  <si>
    <t xml:space="preserve">Version: </t>
  </si>
  <si>
    <t>Option 1: PV-Anlage kaufen/finanzieren</t>
  </si>
  <si>
    <t>Option 2: PV-Anlage mieten</t>
  </si>
  <si>
    <t xml:space="preserve">Anlagengröße: </t>
  </si>
  <si>
    <t xml:space="preserve">Anlagenpreis: </t>
  </si>
  <si>
    <t>kWp</t>
  </si>
  <si>
    <t xml:space="preserve">Preis pro kWp: </t>
  </si>
  <si>
    <t>Anschaffungskosten der PV-Anlage</t>
  </si>
  <si>
    <t xml:space="preserve">Kreditkosten: </t>
  </si>
  <si>
    <t>Laufende Kosten der PV-Anlage (pro Jahr)</t>
  </si>
  <si>
    <t xml:space="preserve">Versicherung: </t>
  </si>
  <si>
    <t xml:space="preserve">Wartung: </t>
  </si>
  <si>
    <t xml:space="preserve">Instandhaltung: </t>
  </si>
  <si>
    <t xml:space="preserve">Vertragslaufzeit: </t>
  </si>
  <si>
    <t>Jahre</t>
  </si>
  <si>
    <t xml:space="preserve">Gesamtkosten: </t>
  </si>
  <si>
    <t>Die PV-Anlage zu mieten kostet dich also insgesamt</t>
  </si>
  <si>
    <t>Datentabelle - Entwicklung der Kosten über 20 Jahre</t>
  </si>
  <si>
    <t xml:space="preserve">Die PV-Anlage zu mieten ist in dem Fall </t>
  </si>
  <si>
    <t>Mögliches Einsparpotential der Anlage</t>
  </si>
  <si>
    <t xml:space="preserve">Initialkosten: </t>
  </si>
  <si>
    <t xml:space="preserve">Ablösekosten: </t>
  </si>
  <si>
    <t>EUR/kWh</t>
  </si>
  <si>
    <t>Preissteigerung:</t>
  </si>
  <si>
    <t>%/Jahr</t>
  </si>
  <si>
    <t>Eigenverbrauchsquote:</t>
  </si>
  <si>
    <t>%</t>
  </si>
  <si>
    <t>Einspeisevergütung:</t>
  </si>
  <si>
    <t>Cent/kWh</t>
  </si>
  <si>
    <t xml:space="preserve">Eigenverbrauch: </t>
  </si>
  <si>
    <t xml:space="preserve">Einspeisung: </t>
  </si>
  <si>
    <t>kWh</t>
  </si>
  <si>
    <t xml:space="preserve">Einsparpotential: </t>
  </si>
  <si>
    <t>EUR/Jahr</t>
  </si>
  <si>
    <t>EUR/Monat</t>
  </si>
  <si>
    <t>% teurer als wenn du sie kaufen/finanzieren würdest</t>
  </si>
  <si>
    <t>EUR mehr (über den angegebenen Vertrags-Zeitraum)</t>
  </si>
  <si>
    <t>Strompreis</t>
  </si>
  <si>
    <t>Aktueller Strompreis:</t>
  </si>
  <si>
    <t>Einsparungen</t>
  </si>
  <si>
    <t>Berechnungstool zum Video "Photovoltaikanlage mieten vs kaufen (Teil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</si>
</sst>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i/>
      <sz val="11"/>
      <color theme="1"/>
      <name val="Calibri"/>
      <family val="2"/>
      <scheme val="minor"/>
    </font>
    <font>
      <b/>
      <sz val="9"/>
      <color indexed="81"/>
      <name val="Segoe UI"/>
      <family val="2"/>
    </font>
    <font>
      <sz val="9"/>
      <color indexed="81"/>
      <name val="Segoe UI"/>
      <charset val="1"/>
    </font>
    <font>
      <b/>
      <sz val="9"/>
      <color indexed="81"/>
      <name val="Segoe UI"/>
      <charset val="1"/>
    </font>
  </fonts>
  <fills count="3">
    <fill>
      <patternFill patternType="none"/>
    </fill>
    <fill>
      <patternFill patternType="gray125"/>
    </fill>
    <fill>
      <patternFill patternType="solid">
        <fgColor rgb="FF92D05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0" borderId="0" xfId="0" applyFont="1"/>
    <xf numFmtId="0" fontId="3" fillId="0" borderId="0" xfId="1"/>
    <xf numFmtId="0" fontId="1" fillId="0" borderId="0" xfId="0" applyFont="1"/>
    <xf numFmtId="0" fontId="0" fillId="2" borderId="1" xfId="0" applyFill="1" applyBorder="1" applyAlignment="1">
      <alignment horizontal="center"/>
    </xf>
    <xf numFmtId="0" fontId="0" fillId="0" borderId="0" xfId="0" applyAlignment="1">
      <alignment horizontal="right"/>
    </xf>
    <xf numFmtId="2" fontId="0" fillId="0" borderId="0" xfId="0" applyNumberFormat="1"/>
    <xf numFmtId="0" fontId="0" fillId="0" borderId="0" xfId="0" applyFont="1" applyAlignment="1">
      <alignment horizontal="center"/>
    </xf>
    <xf numFmtId="0" fontId="1" fillId="0" borderId="0" xfId="0" applyFont="1" applyAlignment="1">
      <alignment horizontal="right"/>
    </xf>
    <xf numFmtId="0" fontId="0" fillId="0" borderId="0" xfId="0" applyAlignment="1">
      <alignment horizontal="right"/>
    </xf>
    <xf numFmtId="0" fontId="0" fillId="0" borderId="0" xfId="0" applyAlignment="1">
      <alignment horizontal="left"/>
    </xf>
    <xf numFmtId="0" fontId="0" fillId="0" borderId="1" xfId="0" applyFill="1" applyBorder="1" applyAlignment="1">
      <alignment horizontal="center"/>
    </xf>
    <xf numFmtId="0" fontId="4" fillId="0" borderId="0" xfId="0" applyFont="1"/>
    <xf numFmtId="2" fontId="4" fillId="0" borderId="1" xfId="0" applyNumberFormat="1" applyFont="1" applyFill="1" applyBorder="1" applyAlignment="1">
      <alignment horizontal="center"/>
    </xf>
    <xf numFmtId="2" fontId="0" fillId="0"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2" fontId="1" fillId="0" borderId="0" xfId="0" applyNumberFormat="1" applyFont="1"/>
    <xf numFmtId="1" fontId="0" fillId="0" borderId="1" xfId="0" applyNumberFormat="1" applyFill="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0" xfId="0" applyAlignment="1"/>
    <xf numFmtId="0" fontId="0" fillId="0" borderId="2" xfId="0" applyBorder="1" applyAlignment="1"/>
    <xf numFmtId="0" fontId="0" fillId="0" borderId="0" xfId="0" applyFont="1" applyAlignment="1">
      <alignment horizontal="right"/>
    </xf>
    <xf numFmtId="0" fontId="4" fillId="0" borderId="0" xfId="0" applyFont="1" applyAlignment="1">
      <alignment horizontal="right"/>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Vergleich PV-Anlage mieten</a:t>
            </a:r>
            <a:r>
              <a:rPr lang="de-DE" baseline="0"/>
              <a:t> vs </a:t>
            </a:r>
            <a:r>
              <a:rPr lang="de-DE"/>
              <a:t>finanzieren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661723941882461E-2"/>
          <c:y val="5.2222632622923017E-2"/>
          <c:w val="0.95434793420344033"/>
          <c:h val="0.87056524242726918"/>
        </c:manualLayout>
      </c:layout>
      <c:lineChart>
        <c:grouping val="standard"/>
        <c:varyColors val="0"/>
        <c:ser>
          <c:idx val="0"/>
          <c:order val="0"/>
          <c:tx>
            <c:strRef>
              <c:f>Grafiken!$B$5</c:f>
              <c:strCache>
                <c:ptCount val="1"/>
                <c:pt idx="0">
                  <c:v>Kaufen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Grafiken!$B$6:$B$25</c:f>
              <c:numCache>
                <c:formatCode>General</c:formatCode>
                <c:ptCount val="20"/>
                <c:pt idx="0">
                  <c:v>7057.5</c:v>
                </c:pt>
                <c:pt idx="1">
                  <c:v>7355</c:v>
                </c:pt>
                <c:pt idx="2">
                  <c:v>7652.5</c:v>
                </c:pt>
                <c:pt idx="3">
                  <c:v>7950</c:v>
                </c:pt>
                <c:pt idx="4">
                  <c:v>8247.5</c:v>
                </c:pt>
                <c:pt idx="5">
                  <c:v>8545</c:v>
                </c:pt>
                <c:pt idx="6">
                  <c:v>8842.5</c:v>
                </c:pt>
                <c:pt idx="7">
                  <c:v>9140</c:v>
                </c:pt>
                <c:pt idx="8">
                  <c:v>9437.5</c:v>
                </c:pt>
                <c:pt idx="9">
                  <c:v>9735</c:v>
                </c:pt>
                <c:pt idx="10">
                  <c:v>10032.5</c:v>
                </c:pt>
                <c:pt idx="11">
                  <c:v>10330</c:v>
                </c:pt>
                <c:pt idx="12">
                  <c:v>10627.5</c:v>
                </c:pt>
                <c:pt idx="13">
                  <c:v>10925</c:v>
                </c:pt>
                <c:pt idx="14">
                  <c:v>11222.5</c:v>
                </c:pt>
                <c:pt idx="15">
                  <c:v>11520</c:v>
                </c:pt>
                <c:pt idx="16">
                  <c:v>11817.5</c:v>
                </c:pt>
                <c:pt idx="17">
                  <c:v>12115</c:v>
                </c:pt>
                <c:pt idx="18">
                  <c:v>12412.5</c:v>
                </c:pt>
                <c:pt idx="19">
                  <c:v>12710</c:v>
                </c:pt>
              </c:numCache>
            </c:numRef>
          </c:val>
          <c:smooth val="0"/>
          <c:extLst>
            <c:ext xmlns:c16="http://schemas.microsoft.com/office/drawing/2014/chart" uri="{C3380CC4-5D6E-409C-BE32-E72D297353CC}">
              <c16:uniqueId val="{00000000-690A-4399-AC0D-25E8EF02E9FC}"/>
            </c:ext>
          </c:extLst>
        </c:ser>
        <c:ser>
          <c:idx val="1"/>
          <c:order val="1"/>
          <c:tx>
            <c:strRef>
              <c:f>Grafiken!$C$5</c:f>
              <c:strCache>
                <c:ptCount val="1"/>
                <c:pt idx="0">
                  <c:v>Mieten</c:v>
                </c:pt>
              </c:strCache>
            </c:strRef>
          </c:tx>
          <c:spPr>
            <a:ln w="28575" cap="rnd">
              <a:solidFill>
                <a:srgbClr val="FF0000"/>
              </a:solidFill>
              <a:round/>
            </a:ln>
            <a:effectLst/>
          </c:spPr>
          <c:marker>
            <c:symbol val="circle"/>
            <c:size val="5"/>
            <c:spPr>
              <a:solidFill>
                <a:schemeClr val="accent2"/>
              </a:solidFill>
              <a:ln w="9525">
                <a:solidFill>
                  <a:srgbClr val="FF0000"/>
                </a:solidFill>
              </a:ln>
              <a:effectLst/>
            </c:spPr>
          </c:marker>
          <c:val>
            <c:numRef>
              <c:f>Grafiken!$C$6:$C$25</c:f>
              <c:numCache>
                <c:formatCode>0.00</c:formatCode>
                <c:ptCount val="20"/>
                <c:pt idx="0">
                  <c:v>868</c:v>
                </c:pt>
                <c:pt idx="1">
                  <c:v>1736</c:v>
                </c:pt>
                <c:pt idx="2">
                  <c:v>2604</c:v>
                </c:pt>
                <c:pt idx="3">
                  <c:v>3472</c:v>
                </c:pt>
                <c:pt idx="4">
                  <c:v>4340</c:v>
                </c:pt>
                <c:pt idx="5">
                  <c:v>5208</c:v>
                </c:pt>
                <c:pt idx="6">
                  <c:v>6076</c:v>
                </c:pt>
                <c:pt idx="7">
                  <c:v>6944</c:v>
                </c:pt>
                <c:pt idx="8">
                  <c:v>7812</c:v>
                </c:pt>
                <c:pt idx="9">
                  <c:v>8680</c:v>
                </c:pt>
                <c:pt idx="10">
                  <c:v>9548</c:v>
                </c:pt>
                <c:pt idx="11">
                  <c:v>10416</c:v>
                </c:pt>
                <c:pt idx="12">
                  <c:v>11284</c:v>
                </c:pt>
                <c:pt idx="13">
                  <c:v>12152</c:v>
                </c:pt>
                <c:pt idx="14">
                  <c:v>13020</c:v>
                </c:pt>
                <c:pt idx="15">
                  <c:v>13888</c:v>
                </c:pt>
                <c:pt idx="16">
                  <c:v>14756</c:v>
                </c:pt>
                <c:pt idx="17">
                  <c:v>15624</c:v>
                </c:pt>
                <c:pt idx="18">
                  <c:v>16492</c:v>
                </c:pt>
                <c:pt idx="19">
                  <c:v>17360</c:v>
                </c:pt>
              </c:numCache>
            </c:numRef>
          </c:val>
          <c:smooth val="0"/>
          <c:extLst>
            <c:ext xmlns:c16="http://schemas.microsoft.com/office/drawing/2014/chart" uri="{C3380CC4-5D6E-409C-BE32-E72D297353CC}">
              <c16:uniqueId val="{00000001-690A-4399-AC0D-25E8EF02E9FC}"/>
            </c:ext>
          </c:extLst>
        </c:ser>
        <c:ser>
          <c:idx val="2"/>
          <c:order val="2"/>
          <c:tx>
            <c:v>Einsparungen</c:v>
          </c:tx>
          <c:spPr>
            <a:ln w="28575" cap="rnd">
              <a:solidFill>
                <a:srgbClr val="00B050"/>
              </a:solidFill>
              <a:round/>
            </a:ln>
            <a:effectLst/>
          </c:spPr>
          <c:marker>
            <c:symbol val="circle"/>
            <c:size val="5"/>
            <c:spPr>
              <a:solidFill>
                <a:srgbClr val="00B050"/>
              </a:solidFill>
              <a:ln w="9525">
                <a:solidFill>
                  <a:srgbClr val="00B050"/>
                </a:solidFill>
              </a:ln>
              <a:effectLst/>
            </c:spPr>
          </c:marker>
          <c:val>
            <c:numRef>
              <c:f>Grafiken!$G$6:$G$25</c:f>
              <c:numCache>
                <c:formatCode>0.00</c:formatCode>
                <c:ptCount val="20"/>
                <c:pt idx="0">
                  <c:v>549.48250000000007</c:v>
                </c:pt>
                <c:pt idx="1">
                  <c:v>1112.8068875000001</c:v>
                </c:pt>
                <c:pt idx="2">
                  <c:v>1690.4576285625001</c:v>
                </c:pt>
                <c:pt idx="3">
                  <c:v>2282.9361455621874</c:v>
                </c:pt>
                <c:pt idx="4">
                  <c:v>2890.761410656864</c:v>
                </c:pt>
                <c:pt idx="5">
                  <c:v>3514.4705600298539</c:v>
                </c:pt>
                <c:pt idx="6">
                  <c:v>4154.6195296308988</c:v>
                </c:pt>
                <c:pt idx="7">
                  <c:v>4811.7837131679807</c:v>
                </c:pt>
                <c:pt idx="8">
                  <c:v>5486.5586431288602</c:v>
                </c:pt>
                <c:pt idx="9">
                  <c:v>6179.5606956383708</c:v>
                </c:pt>
                <c:pt idx="10">
                  <c:v>6891.4278199857135</c:v>
                </c:pt>
                <c:pt idx="11">
                  <c:v>7622.820293685214</c:v>
                </c:pt>
                <c:pt idx="12">
                  <c:v>8374.4215039641967</c:v>
                </c:pt>
                <c:pt idx="13">
                  <c:v>9146.9387566029436</c:v>
                </c:pt>
                <c:pt idx="14">
                  <c:v>9941.1041130840476</c:v>
                </c:pt>
                <c:pt idx="15">
                  <c:v>10757.675257041989</c:v>
                </c:pt>
                <c:pt idx="16">
                  <c:v>11597.436391038458</c:v>
                </c:pt>
                <c:pt idx="17">
                  <c:v>12461.199164724805</c:v>
                </c:pt>
                <c:pt idx="18">
                  <c:v>13349.803635490174</c:v>
                </c:pt>
                <c:pt idx="19">
                  <c:v>14264.119262732331</c:v>
                </c:pt>
              </c:numCache>
            </c:numRef>
          </c:val>
          <c:smooth val="0"/>
          <c:extLst>
            <c:ext xmlns:c16="http://schemas.microsoft.com/office/drawing/2014/chart" uri="{C3380CC4-5D6E-409C-BE32-E72D297353CC}">
              <c16:uniqueId val="{00000002-5599-4C09-A4E5-486AB14E447B}"/>
            </c:ext>
          </c:extLst>
        </c:ser>
        <c:dLbls>
          <c:showLegendKey val="0"/>
          <c:showVal val="0"/>
          <c:showCatName val="0"/>
          <c:showSerName val="0"/>
          <c:showPercent val="0"/>
          <c:showBubbleSize val="0"/>
        </c:dLbls>
        <c:marker val="1"/>
        <c:smooth val="0"/>
        <c:axId val="1668826976"/>
        <c:axId val="1668822816"/>
      </c:lineChart>
      <c:catAx>
        <c:axId val="1668826976"/>
        <c:scaling>
          <c:orientation val="minMax"/>
        </c:scaling>
        <c:delete val="0"/>
        <c:axPos val="b"/>
        <c:minorGridlines>
          <c:spPr>
            <a:ln w="9525" cap="flat" cmpd="sng" algn="ctr">
              <a:solidFill>
                <a:schemeClr val="tx1">
                  <a:lumMod val="5000"/>
                  <a:lumOff val="95000"/>
                </a:schemeClr>
              </a:solidFill>
              <a:round/>
            </a:ln>
            <a:effectLst/>
          </c:spPr>
        </c:min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668822816"/>
        <c:crosses val="autoZero"/>
        <c:auto val="1"/>
        <c:lblAlgn val="ctr"/>
        <c:lblOffset val="100"/>
        <c:noMultiLvlLbl val="0"/>
      </c:catAx>
      <c:valAx>
        <c:axId val="16688228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de-DE"/>
          </a:p>
        </c:txPr>
        <c:crossAx val="16688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146050</xdr:rowOff>
    </xdr:from>
    <xdr:to>
      <xdr:col>2</xdr:col>
      <xdr:colOff>527050</xdr:colOff>
      <xdr:row>6</xdr:row>
      <xdr:rowOff>25400</xdr:rowOff>
    </xdr:to>
    <xdr:pic>
      <xdr:nvPicPr>
        <xdr:cNvPr id="4" name="Grafik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46050"/>
          <a:ext cx="1428750" cy="95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1395480</xdr:colOff>
      <xdr:row>0</xdr:row>
      <xdr:rowOff>44309</xdr:rowOff>
    </xdr:from>
    <xdr:to>
      <xdr:col>24</xdr:col>
      <xdr:colOff>673652</xdr:colOff>
      <xdr:row>50</xdr:row>
      <xdr:rowOff>160129</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c/DerFachwerker" TargetMode="External"/><Relationship Id="rId1" Type="http://schemas.openxmlformats.org/officeDocument/2006/relationships/hyperlink" Target="https://www.der-fachwerker-saniert.de/tool_download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R26"/>
  <sheetViews>
    <sheetView tabSelected="1" zoomScale="115" zoomScaleNormal="115" workbookViewId="0">
      <selection activeCell="L18" sqref="L18"/>
    </sheetView>
  </sheetViews>
  <sheetFormatPr baseColWidth="10" defaultRowHeight="14.5" x14ac:dyDescent="0.35"/>
  <cols>
    <col min="1" max="1" width="4.81640625" customWidth="1"/>
    <col min="2" max="2" width="9.453125" customWidth="1"/>
    <col min="3" max="3" width="11.08984375" customWidth="1"/>
    <col min="5" max="5" width="10.26953125" customWidth="1"/>
    <col min="6" max="6" width="6.90625" customWidth="1"/>
    <col min="7" max="7" width="4.54296875" customWidth="1"/>
    <col min="8" max="8" width="3.54296875" customWidth="1"/>
    <col min="9" max="9" width="9.90625" customWidth="1"/>
    <col min="10" max="10" width="3.7265625" customWidth="1"/>
    <col min="13" max="13" width="6.54296875" customWidth="1"/>
    <col min="14" max="14" width="6.81640625" customWidth="1"/>
    <col min="15" max="15" width="5.1796875" customWidth="1"/>
    <col min="16" max="16" width="8" customWidth="1"/>
  </cols>
  <sheetData>
    <row r="2" spans="2:18" ht="18.5" x14ac:dyDescent="0.45">
      <c r="D2" s="1" t="s">
        <v>52</v>
      </c>
    </row>
    <row r="3" spans="2:18" ht="8" customHeight="1" x14ac:dyDescent="0.45">
      <c r="C3" s="1"/>
    </row>
    <row r="4" spans="2:18" x14ac:dyDescent="0.35">
      <c r="D4" s="9" t="s">
        <v>9</v>
      </c>
      <c r="E4" t="s">
        <v>2</v>
      </c>
      <c r="J4" s="9" t="s">
        <v>12</v>
      </c>
      <c r="K4" s="3" t="s">
        <v>8</v>
      </c>
    </row>
    <row r="5" spans="2:18" x14ac:dyDescent="0.35">
      <c r="D5" s="9" t="s">
        <v>10</v>
      </c>
      <c r="E5" s="2" t="s">
        <v>7</v>
      </c>
    </row>
    <row r="6" spans="2:18" x14ac:dyDescent="0.35">
      <c r="D6" s="9" t="s">
        <v>11</v>
      </c>
      <c r="E6" s="2" t="s">
        <v>0</v>
      </c>
    </row>
    <row r="7" spans="2:18" ht="24.5" customHeight="1" x14ac:dyDescent="0.35"/>
    <row r="8" spans="2:18" s="1" customFormat="1" ht="17" customHeight="1" x14ac:dyDescent="0.45">
      <c r="B8" s="1" t="s">
        <v>13</v>
      </c>
      <c r="I8" s="1" t="s">
        <v>14</v>
      </c>
      <c r="O8" s="1" t="s">
        <v>31</v>
      </c>
    </row>
    <row r="9" spans="2:18" ht="15" thickBot="1" x14ac:dyDescent="0.4">
      <c r="B9" s="3" t="s">
        <v>19</v>
      </c>
    </row>
    <row r="10" spans="2:18" ht="15" thickBot="1" x14ac:dyDescent="0.4">
      <c r="B10" s="19" t="s">
        <v>15</v>
      </c>
      <c r="C10" s="19"/>
      <c r="D10" s="4">
        <v>3.5</v>
      </c>
      <c r="E10" t="s">
        <v>17</v>
      </c>
      <c r="H10" s="19" t="s">
        <v>3</v>
      </c>
      <c r="I10" s="21"/>
      <c r="J10" s="22"/>
      <c r="K10" s="4">
        <v>64</v>
      </c>
      <c r="L10" t="s">
        <v>1</v>
      </c>
      <c r="N10" s="19" t="s">
        <v>50</v>
      </c>
      <c r="O10" s="21"/>
      <c r="P10" s="22"/>
      <c r="Q10" s="4">
        <v>0.31</v>
      </c>
      <c r="R10" t="s">
        <v>34</v>
      </c>
    </row>
    <row r="11" spans="2:18" ht="15" thickBot="1" x14ac:dyDescent="0.4">
      <c r="B11" s="19" t="s">
        <v>16</v>
      </c>
      <c r="C11" s="19"/>
      <c r="D11" s="4">
        <v>6500</v>
      </c>
      <c r="E11" t="s">
        <v>1</v>
      </c>
      <c r="H11" s="19" t="s">
        <v>25</v>
      </c>
      <c r="I11" s="21"/>
      <c r="J11" s="22"/>
      <c r="K11" s="4">
        <v>20</v>
      </c>
      <c r="L11" t="s">
        <v>26</v>
      </c>
      <c r="N11" s="19" t="s">
        <v>35</v>
      </c>
      <c r="O11" s="21"/>
      <c r="P11" s="22"/>
      <c r="Q11" s="4">
        <v>3.5</v>
      </c>
      <c r="R11" t="s">
        <v>36</v>
      </c>
    </row>
    <row r="12" spans="2:18" ht="15" thickBot="1" x14ac:dyDescent="0.4">
      <c r="B12" s="24" t="s">
        <v>18</v>
      </c>
      <c r="C12" s="24"/>
      <c r="D12" s="13">
        <f>D11/D10</f>
        <v>1857.1428571428571</v>
      </c>
      <c r="E12" s="12" t="s">
        <v>1</v>
      </c>
    </row>
    <row r="13" spans="2:18" ht="15" thickBot="1" x14ac:dyDescent="0.4">
      <c r="B13" s="24"/>
      <c r="C13" s="24"/>
      <c r="H13" s="19" t="s">
        <v>32</v>
      </c>
      <c r="I13" s="21"/>
      <c r="J13" s="22"/>
      <c r="K13" s="4">
        <v>0</v>
      </c>
      <c r="L13" t="s">
        <v>1</v>
      </c>
      <c r="N13" s="19" t="s">
        <v>39</v>
      </c>
      <c r="O13" s="21"/>
      <c r="P13" s="22"/>
      <c r="Q13" s="4">
        <v>8</v>
      </c>
      <c r="R13" t="s">
        <v>40</v>
      </c>
    </row>
    <row r="14" spans="2:18" ht="15" thickBot="1" x14ac:dyDescent="0.4">
      <c r="B14" s="23" t="s">
        <v>20</v>
      </c>
      <c r="C14" s="23"/>
      <c r="D14" s="16">
        <f>D11*0.04</f>
        <v>260</v>
      </c>
      <c r="E14" t="s">
        <v>1</v>
      </c>
      <c r="H14" s="19" t="s">
        <v>33</v>
      </c>
      <c r="I14" s="21"/>
      <c r="J14" s="22"/>
      <c r="K14" s="4">
        <v>2000</v>
      </c>
      <c r="L14" t="s">
        <v>1</v>
      </c>
    </row>
    <row r="15" spans="2:18" ht="15" thickBot="1" x14ac:dyDescent="0.4">
      <c r="N15" s="19" t="s">
        <v>37</v>
      </c>
      <c r="O15" s="21"/>
      <c r="P15" s="22"/>
      <c r="Q15" s="4">
        <v>45</v>
      </c>
      <c r="R15" t="s">
        <v>38</v>
      </c>
    </row>
    <row r="16" spans="2:18" ht="15" thickBot="1" x14ac:dyDescent="0.4">
      <c r="B16" s="3" t="s">
        <v>21</v>
      </c>
    </row>
    <row r="17" spans="2:18" ht="15" thickBot="1" x14ac:dyDescent="0.4">
      <c r="B17" s="19" t="s">
        <v>22</v>
      </c>
      <c r="C17" s="19"/>
      <c r="D17" s="4">
        <v>100</v>
      </c>
      <c r="E17" t="s">
        <v>1</v>
      </c>
      <c r="N17" s="19" t="s">
        <v>41</v>
      </c>
      <c r="O17" s="21"/>
      <c r="P17" s="22"/>
      <c r="Q17" s="11">
        <f>(D10*1000)*(Q15/100)</f>
        <v>1575</v>
      </c>
      <c r="R17" t="s">
        <v>43</v>
      </c>
    </row>
    <row r="18" spans="2:18" ht="15" thickBot="1" x14ac:dyDescent="0.4">
      <c r="B18" s="19" t="s">
        <v>23</v>
      </c>
      <c r="C18" s="19"/>
      <c r="D18" s="4">
        <v>100</v>
      </c>
      <c r="E18" t="s">
        <v>1</v>
      </c>
      <c r="N18" s="19" t="s">
        <v>42</v>
      </c>
      <c r="O18" s="21"/>
      <c r="P18" s="22"/>
      <c r="Q18" s="11">
        <f>D10*1000-Q17</f>
        <v>1925</v>
      </c>
      <c r="R18" t="s">
        <v>43</v>
      </c>
    </row>
    <row r="19" spans="2:18" ht="15" thickBot="1" x14ac:dyDescent="0.4">
      <c r="B19" s="19" t="s">
        <v>24</v>
      </c>
      <c r="C19" s="19"/>
      <c r="D19" s="4">
        <f>D11*0.015</f>
        <v>97.5</v>
      </c>
      <c r="E19" t="s">
        <v>1</v>
      </c>
    </row>
    <row r="20" spans="2:18" ht="15" thickBot="1" x14ac:dyDescent="0.4"/>
    <row r="21" spans="2:18" ht="15" thickBot="1" x14ac:dyDescent="0.4">
      <c r="B21" s="19" t="s">
        <v>27</v>
      </c>
      <c r="C21" s="20"/>
      <c r="D21" s="18">
        <f>D11+D14+((D17+D18+D19)*K11)</f>
        <v>12710</v>
      </c>
      <c r="E21" t="s">
        <v>1</v>
      </c>
      <c r="G21" s="7"/>
      <c r="I21" s="19" t="s">
        <v>27</v>
      </c>
      <c r="J21" s="20"/>
      <c r="K21" s="18">
        <f>K10*12*K11+K13+K14</f>
        <v>17360</v>
      </c>
      <c r="L21" t="s">
        <v>1</v>
      </c>
      <c r="N21" s="19" t="s">
        <v>44</v>
      </c>
      <c r="O21" s="21"/>
      <c r="P21" s="22"/>
      <c r="Q21" s="14">
        <f>Grafiken!F27/Dateneingabe!K11</f>
        <v>713.20596313661656</v>
      </c>
      <c r="R21" t="s">
        <v>45</v>
      </c>
    </row>
    <row r="22" spans="2:18" ht="15" thickBot="1" x14ac:dyDescent="0.4">
      <c r="D22" s="15">
        <f>D21/(K11*12)</f>
        <v>52.958333333333336</v>
      </c>
      <c r="E22" t="s">
        <v>46</v>
      </c>
      <c r="K22" s="15">
        <f>K21/(K11*12)</f>
        <v>72.333333333333329</v>
      </c>
      <c r="L22" t="s">
        <v>46</v>
      </c>
      <c r="Q22" s="15">
        <f>Q21/12</f>
        <v>59.433830261384713</v>
      </c>
      <c r="R22" t="s">
        <v>46</v>
      </c>
    </row>
    <row r="24" spans="2:18" x14ac:dyDescent="0.35">
      <c r="B24" s="3" t="s">
        <v>4</v>
      </c>
    </row>
    <row r="25" spans="2:18" x14ac:dyDescent="0.35">
      <c r="B25" s="19" t="s">
        <v>28</v>
      </c>
      <c r="C25" s="19"/>
      <c r="D25" s="19"/>
      <c r="E25" s="19"/>
      <c r="F25" s="8">
        <f>K21-D21</f>
        <v>4650</v>
      </c>
      <c r="G25" t="s">
        <v>48</v>
      </c>
    </row>
    <row r="26" spans="2:18" x14ac:dyDescent="0.35">
      <c r="B26" s="19" t="s">
        <v>30</v>
      </c>
      <c r="C26" s="19"/>
      <c r="D26" s="19"/>
      <c r="E26" s="19"/>
      <c r="F26" s="17">
        <f>(F25/D21)*100</f>
        <v>36.585365853658537</v>
      </c>
      <c r="G26" t="s">
        <v>47</v>
      </c>
    </row>
  </sheetData>
  <mergeCells count="23">
    <mergeCell ref="N21:P21"/>
    <mergeCell ref="H14:J14"/>
    <mergeCell ref="N10:P10"/>
    <mergeCell ref="N11:P11"/>
    <mergeCell ref="N15:P15"/>
    <mergeCell ref="N13:P13"/>
    <mergeCell ref="N17:P17"/>
    <mergeCell ref="N18:P18"/>
    <mergeCell ref="B21:C21"/>
    <mergeCell ref="H10:J10"/>
    <mergeCell ref="H11:J11"/>
    <mergeCell ref="B25:E25"/>
    <mergeCell ref="B26:E26"/>
    <mergeCell ref="B14:C14"/>
    <mergeCell ref="B10:C10"/>
    <mergeCell ref="B11:C11"/>
    <mergeCell ref="B17:C17"/>
    <mergeCell ref="B18:C18"/>
    <mergeCell ref="B19:C19"/>
    <mergeCell ref="B12:C12"/>
    <mergeCell ref="B13:C13"/>
    <mergeCell ref="I21:J21"/>
    <mergeCell ref="H13:J13"/>
  </mergeCells>
  <hyperlinks>
    <hyperlink ref="E5" r:id="rId1"/>
    <hyperlink ref="E6" r:id="rId2"/>
  </hyperlinks>
  <pageMargins left="0.25" right="0.25" top="0.75" bottom="0.75" header="0.3" footer="0.3"/>
  <pageSetup paperSize="9" orientation="landscape" horizontalDpi="4294967293" verticalDpi="0"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zoomScale="115" zoomScaleNormal="115" workbookViewId="0">
      <selection activeCell="C6" sqref="C6"/>
    </sheetView>
  </sheetViews>
  <sheetFormatPr baseColWidth="10" defaultRowHeight="14.5" x14ac:dyDescent="0.35"/>
  <cols>
    <col min="1" max="1" width="5.08984375" customWidth="1"/>
    <col min="2" max="2" width="11.81640625" customWidth="1"/>
    <col min="3" max="3" width="11.26953125" customWidth="1"/>
    <col min="4" max="4" width="24.08984375" customWidth="1"/>
    <col min="5" max="5" width="9.453125" customWidth="1"/>
    <col min="6" max="6" width="10.08984375" customWidth="1"/>
  </cols>
  <sheetData>
    <row r="2" spans="1:7" ht="18.5" x14ac:dyDescent="0.45">
      <c r="B2" s="1"/>
    </row>
    <row r="4" spans="1:7" x14ac:dyDescent="0.35">
      <c r="B4" s="3" t="s">
        <v>29</v>
      </c>
    </row>
    <row r="5" spans="1:7" x14ac:dyDescent="0.35">
      <c r="B5" s="5" t="s">
        <v>5</v>
      </c>
      <c r="C5" s="5" t="s">
        <v>6</v>
      </c>
      <c r="E5" s="5" t="s">
        <v>49</v>
      </c>
      <c r="G5" s="10" t="s">
        <v>51</v>
      </c>
    </row>
    <row r="6" spans="1:7" x14ac:dyDescent="0.35">
      <c r="A6">
        <v>1</v>
      </c>
      <c r="B6">
        <f>Dateneingabe!D11+Dateneingabe!D14+(Dateneingabe!D17+Dateneingabe!D18+Dateneingabe!D19)</f>
        <v>7057.5</v>
      </c>
      <c r="C6" s="6">
        <f>Dateneingabe!K22*12</f>
        <v>868</v>
      </c>
      <c r="E6" s="6">
        <f>Dateneingabe!Q10</f>
        <v>0.31</v>
      </c>
      <c r="F6">
        <f>(E6*Dateneingabe!$Q$17)-(E6*Dateneingabe!$Q$17*0.19)+(Dateneingabe!$Q$18*Dateneingabe!$Q$13/100)</f>
        <v>549.48250000000007</v>
      </c>
      <c r="G6" s="6">
        <f>F6</f>
        <v>549.48250000000007</v>
      </c>
    </row>
    <row r="7" spans="1:7" x14ac:dyDescent="0.35">
      <c r="A7">
        <v>2</v>
      </c>
      <c r="B7">
        <f>B6+(Dateneingabe!$D$17+Dateneingabe!$D$18+Dateneingabe!$D$19)</f>
        <v>7355</v>
      </c>
      <c r="C7" s="6">
        <f>C6+(Dateneingabe!$K$22*12)</f>
        <v>1736</v>
      </c>
      <c r="E7" s="6">
        <f>E6+(E6*Dateneingabe!$Q$11/100)</f>
        <v>0.32085000000000002</v>
      </c>
      <c r="F7">
        <f>(E7*Dateneingabe!$Q$17)-(E7*Dateneingabe!$Q$17*0.19)+(Dateneingabe!$Q$18*Dateneingabe!$Q$13/100)</f>
        <v>563.32438750000006</v>
      </c>
      <c r="G7" s="6">
        <f>G6+F7</f>
        <v>1112.8068875000001</v>
      </c>
    </row>
    <row r="8" spans="1:7" x14ac:dyDescent="0.35">
      <c r="A8">
        <v>3</v>
      </c>
      <c r="B8">
        <f>B7+(Dateneingabe!$D$17+Dateneingabe!$D$18+Dateneingabe!$D$19)</f>
        <v>7652.5</v>
      </c>
      <c r="C8" s="6">
        <f>C7+(Dateneingabe!$K$22*12)</f>
        <v>2604</v>
      </c>
      <c r="E8" s="6">
        <f>E7+(E7*Dateneingabe!$Q$11/100)</f>
        <v>0.33207975000000001</v>
      </c>
      <c r="F8">
        <f>(E8*Dateneingabe!$Q$17)-(E8*Dateneingabe!$Q$17*0.19)+(Dateneingabe!$Q$18*Dateneingabe!$Q$13/100)</f>
        <v>577.65074106249995</v>
      </c>
      <c r="G8" s="6">
        <f t="shared" ref="G8:G25" si="0">G7+F8</f>
        <v>1690.4576285625001</v>
      </c>
    </row>
    <row r="9" spans="1:7" x14ac:dyDescent="0.35">
      <c r="A9">
        <v>4</v>
      </c>
      <c r="B9">
        <f>B8+(Dateneingabe!$D$17+Dateneingabe!$D$18+Dateneingabe!$D$19)</f>
        <v>7950</v>
      </c>
      <c r="C9" s="6">
        <f>C8+(Dateneingabe!$K$22*12)</f>
        <v>3472</v>
      </c>
      <c r="E9" s="6">
        <f>E8+(E8*Dateneingabe!$Q$11/100)</f>
        <v>0.34370254124999999</v>
      </c>
      <c r="F9">
        <f>(E9*Dateneingabe!$Q$17)-(E9*Dateneingabe!$Q$17*0.19)+(Dateneingabe!$Q$18*Dateneingabe!$Q$13/100)</f>
        <v>592.4785169996876</v>
      </c>
      <c r="G9" s="6">
        <f t="shared" si="0"/>
        <v>2282.9361455621874</v>
      </c>
    </row>
    <row r="10" spans="1:7" x14ac:dyDescent="0.35">
      <c r="A10">
        <v>5</v>
      </c>
      <c r="B10">
        <f>B9+(Dateneingabe!$D$17+Dateneingabe!$D$18+Dateneingabe!$D$19)</f>
        <v>8247.5</v>
      </c>
      <c r="C10" s="6">
        <f>C9+(Dateneingabe!$K$22*12)</f>
        <v>4340</v>
      </c>
      <c r="E10" s="6">
        <f>E9+(E9*Dateneingabe!$Q$11/100)</f>
        <v>0.35573213019375</v>
      </c>
      <c r="F10">
        <f>(E10*Dateneingabe!$Q$17)-(E10*Dateneingabe!$Q$17*0.19)+(Dateneingabe!$Q$18*Dateneingabe!$Q$13/100)</f>
        <v>607.82526509467652</v>
      </c>
      <c r="G10" s="6">
        <f t="shared" si="0"/>
        <v>2890.761410656864</v>
      </c>
    </row>
    <row r="11" spans="1:7" x14ac:dyDescent="0.35">
      <c r="A11">
        <v>6</v>
      </c>
      <c r="B11">
        <f>B10+(Dateneingabe!$D$17+Dateneingabe!$D$18+Dateneingabe!$D$19)</f>
        <v>8545</v>
      </c>
      <c r="C11" s="6">
        <f>C10+(Dateneingabe!$K$22*12)</f>
        <v>5208</v>
      </c>
      <c r="E11" s="6">
        <f>E10+(E10*Dateneingabe!$Q$11/100)</f>
        <v>0.36818275475053125</v>
      </c>
      <c r="F11">
        <f>(E11*Dateneingabe!$Q$17)-(E11*Dateneingabe!$Q$17*0.19)+(Dateneingabe!$Q$18*Dateneingabe!$Q$13/100)</f>
        <v>623.70914937299017</v>
      </c>
      <c r="G11" s="6">
        <f t="shared" si="0"/>
        <v>3514.4705600298539</v>
      </c>
    </row>
    <row r="12" spans="1:7" x14ac:dyDescent="0.35">
      <c r="A12">
        <v>7</v>
      </c>
      <c r="B12">
        <f>B11+(Dateneingabe!$D$17+Dateneingabe!$D$18+Dateneingabe!$D$19)</f>
        <v>8842.5</v>
      </c>
      <c r="C12" s="6">
        <f>C11+(Dateneingabe!$K$22*12)</f>
        <v>6076</v>
      </c>
      <c r="E12" s="6">
        <f>E11+(E11*Dateneingabe!$Q$11/100)</f>
        <v>0.38106915116679985</v>
      </c>
      <c r="F12">
        <f>(E12*Dateneingabe!$Q$17)-(E12*Dateneingabe!$Q$17*0.19)+(Dateneingabe!$Q$18*Dateneingabe!$Q$13/100)</f>
        <v>640.14896960104488</v>
      </c>
      <c r="G12" s="6">
        <f t="shared" si="0"/>
        <v>4154.6195296308988</v>
      </c>
    </row>
    <row r="13" spans="1:7" x14ac:dyDescent="0.35">
      <c r="A13">
        <v>8</v>
      </c>
      <c r="B13">
        <f>B12+(Dateneingabe!$D$17+Dateneingabe!$D$18+Dateneingabe!$D$19)</f>
        <v>9140</v>
      </c>
      <c r="C13" s="6">
        <f>C12+(Dateneingabe!$K$22*12)</f>
        <v>6944</v>
      </c>
      <c r="E13" s="6">
        <f>E12+(E12*Dateneingabe!$Q$11/100)</f>
        <v>0.39440657145763786</v>
      </c>
      <c r="F13">
        <f>(E13*Dateneingabe!$Q$17)-(E13*Dateneingabe!$Q$17*0.19)+(Dateneingabe!$Q$18*Dateneingabe!$Q$13/100)</f>
        <v>657.1641835370815</v>
      </c>
      <c r="G13" s="6">
        <f t="shared" si="0"/>
        <v>4811.7837131679807</v>
      </c>
    </row>
    <row r="14" spans="1:7" x14ac:dyDescent="0.35">
      <c r="A14">
        <v>9</v>
      </c>
      <c r="B14">
        <f>B13+(Dateneingabe!$D$17+Dateneingabe!$D$18+Dateneingabe!$D$19)</f>
        <v>9437.5</v>
      </c>
      <c r="C14" s="6">
        <f>C13+(Dateneingabe!$K$22*12)</f>
        <v>7812</v>
      </c>
      <c r="E14" s="6">
        <f>E13+(E13*Dateneingabe!$Q$11/100)</f>
        <v>0.40821080145865518</v>
      </c>
      <c r="F14">
        <f>(E14*Dateneingabe!$Q$17)-(E14*Dateneingabe!$Q$17*0.19)+(Dateneingabe!$Q$18*Dateneingabe!$Q$13/100)</f>
        <v>674.77492996087938</v>
      </c>
      <c r="G14" s="6">
        <f t="shared" si="0"/>
        <v>5486.5586431288602</v>
      </c>
    </row>
    <row r="15" spans="1:7" x14ac:dyDescent="0.35">
      <c r="A15">
        <v>10</v>
      </c>
      <c r="B15">
        <f>B14+(Dateneingabe!$D$17+Dateneingabe!$D$18+Dateneingabe!$D$19)</f>
        <v>9735</v>
      </c>
      <c r="C15" s="6">
        <f>C14+(Dateneingabe!$K$22*12)</f>
        <v>8680</v>
      </c>
      <c r="E15" s="6">
        <f>E14+(E14*Dateneingabe!$Q$11/100)</f>
        <v>0.42249817950970814</v>
      </c>
      <c r="F15">
        <f>(E15*Dateneingabe!$Q$17)-(E15*Dateneingabe!$Q$17*0.19)+(Dateneingabe!$Q$18*Dateneingabe!$Q$13/100)</f>
        <v>693.00205250951024</v>
      </c>
      <c r="G15" s="6">
        <f t="shared" si="0"/>
        <v>6179.5606956383708</v>
      </c>
    </row>
    <row r="16" spans="1:7" x14ac:dyDescent="0.35">
      <c r="A16">
        <v>11</v>
      </c>
      <c r="B16">
        <f>B15+(Dateneingabe!$D$17+Dateneingabe!$D$18+Dateneingabe!$D$19)</f>
        <v>10032.5</v>
      </c>
      <c r="C16" s="6">
        <f>C15+(Dateneingabe!$K$22*12)</f>
        <v>9548</v>
      </c>
      <c r="E16" s="6">
        <f>E15+(E15*Dateneingabe!$Q$11/100)</f>
        <v>0.43728561579254793</v>
      </c>
      <c r="F16">
        <f>(E16*Dateneingabe!$Q$17)-(E16*Dateneingabe!$Q$17*0.19)+(Dateneingabe!$Q$18*Dateneingabe!$Q$13/100)</f>
        <v>711.86712434734306</v>
      </c>
      <c r="G16" s="6">
        <f t="shared" si="0"/>
        <v>6891.4278199857135</v>
      </c>
    </row>
    <row r="17" spans="1:7" x14ac:dyDescent="0.35">
      <c r="A17">
        <v>12</v>
      </c>
      <c r="B17">
        <f>B16+(Dateneingabe!$D$17+Dateneingabe!$D$18+Dateneingabe!$D$19)</f>
        <v>10330</v>
      </c>
      <c r="C17" s="6">
        <f>C16+(Dateneingabe!$K$22*12)</f>
        <v>10416</v>
      </c>
      <c r="E17" s="6">
        <f>E16+(E16*Dateneingabe!$Q$11/100)</f>
        <v>0.45259061234528714</v>
      </c>
      <c r="F17">
        <f>(E17*Dateneingabe!$Q$17)-(E17*Dateneingabe!$Q$17*0.19)+(Dateneingabe!$Q$18*Dateneingabe!$Q$13/100)</f>
        <v>731.39247369949999</v>
      </c>
      <c r="G17" s="6">
        <f t="shared" si="0"/>
        <v>7622.820293685214</v>
      </c>
    </row>
    <row r="18" spans="1:7" x14ac:dyDescent="0.35">
      <c r="A18">
        <v>13</v>
      </c>
      <c r="B18">
        <f>B17+(Dateneingabe!$D$17+Dateneingabe!$D$18+Dateneingabe!$D$19)</f>
        <v>10627.5</v>
      </c>
      <c r="C18" s="6">
        <f>C17+(Dateneingabe!$K$22*12)</f>
        <v>11284</v>
      </c>
      <c r="E18" s="6">
        <f>E17+(E17*Dateneingabe!$Q$11/100)</f>
        <v>0.4684312837773722</v>
      </c>
      <c r="F18">
        <f>(E18*Dateneingabe!$Q$17)-(E18*Dateneingabe!$Q$17*0.19)+(Dateneingabe!$Q$18*Dateneingabe!$Q$13/100)</f>
        <v>751.60121027898265</v>
      </c>
      <c r="G18" s="6">
        <f t="shared" si="0"/>
        <v>8374.4215039641967</v>
      </c>
    </row>
    <row r="19" spans="1:7" x14ac:dyDescent="0.35">
      <c r="A19">
        <v>14</v>
      </c>
      <c r="B19">
        <f>B18+(Dateneingabe!$D$17+Dateneingabe!$D$18+Dateneingabe!$D$19)</f>
        <v>10925</v>
      </c>
      <c r="C19" s="6">
        <f>C18+(Dateneingabe!$K$22*12)</f>
        <v>12152</v>
      </c>
      <c r="E19" s="6">
        <f>E18+(E18*Dateneingabe!$Q$11/100)</f>
        <v>0.48482637870958023</v>
      </c>
      <c r="F19">
        <f>(E19*Dateneingabe!$Q$17)-(E19*Dateneingabe!$Q$17*0.19)+(Dateneingabe!$Q$18*Dateneingabe!$Q$13/100)</f>
        <v>772.51725263874698</v>
      </c>
      <c r="G19" s="6">
        <f t="shared" si="0"/>
        <v>9146.9387566029436</v>
      </c>
    </row>
    <row r="20" spans="1:7" x14ac:dyDescent="0.35">
      <c r="A20">
        <v>15</v>
      </c>
      <c r="B20">
        <f>B19+(Dateneingabe!$D$17+Dateneingabe!$D$18+Dateneingabe!$D$19)</f>
        <v>11222.5</v>
      </c>
      <c r="C20" s="6">
        <f>C19+(Dateneingabe!$K$22*12)</f>
        <v>13020</v>
      </c>
      <c r="E20" s="6">
        <f>E19+(E19*Dateneingabe!$Q$11/100)</f>
        <v>0.50179530196441557</v>
      </c>
      <c r="F20">
        <f>(E20*Dateneingabe!$Q$17)-(E20*Dateneingabe!$Q$17*0.19)+(Dateneingabe!$Q$18*Dateneingabe!$Q$13/100)</f>
        <v>794.16535648110323</v>
      </c>
      <c r="G20" s="6">
        <f t="shared" si="0"/>
        <v>9941.1041130840476</v>
      </c>
    </row>
    <row r="21" spans="1:7" x14ac:dyDescent="0.35">
      <c r="A21">
        <v>16</v>
      </c>
      <c r="B21">
        <f>B20+(Dateneingabe!$D$17+Dateneingabe!$D$18+Dateneingabe!$D$19)</f>
        <v>11520</v>
      </c>
      <c r="C21" s="6">
        <f>C20+(Dateneingabe!$K$22*12)</f>
        <v>13888</v>
      </c>
      <c r="E21" s="6">
        <f>E20+(E20*Dateneingabe!$Q$11/100)</f>
        <v>0.51935813753317017</v>
      </c>
      <c r="F21">
        <f>(E21*Dateneingabe!$Q$17)-(E21*Dateneingabe!$Q$17*0.19)+(Dateneingabe!$Q$18*Dateneingabe!$Q$13/100)</f>
        <v>816.57114395794179</v>
      </c>
      <c r="G21" s="6">
        <f t="shared" si="0"/>
        <v>10757.675257041989</v>
      </c>
    </row>
    <row r="22" spans="1:7" x14ac:dyDescent="0.35">
      <c r="A22">
        <v>17</v>
      </c>
      <c r="B22">
        <f>B21+(Dateneingabe!$D$17+Dateneingabe!$D$18+Dateneingabe!$D$19)</f>
        <v>11817.5</v>
      </c>
      <c r="C22" s="6">
        <f>C21+(Dateneingabe!$K$22*12)</f>
        <v>14756</v>
      </c>
      <c r="E22" s="6">
        <f>E21+(E21*Dateneingabe!$Q$11/100)</f>
        <v>0.53753567234683108</v>
      </c>
      <c r="F22">
        <f>(E22*Dateneingabe!$Q$17)-(E22*Dateneingabe!$Q$17*0.19)+(Dateneingabe!$Q$18*Dateneingabe!$Q$13/100)</f>
        <v>839.76113399646977</v>
      </c>
      <c r="G22" s="6">
        <f t="shared" si="0"/>
        <v>11597.436391038458</v>
      </c>
    </row>
    <row r="23" spans="1:7" x14ac:dyDescent="0.35">
      <c r="A23">
        <v>18</v>
      </c>
      <c r="B23">
        <f>B22+(Dateneingabe!$D$17+Dateneingabe!$D$18+Dateneingabe!$D$19)</f>
        <v>12115</v>
      </c>
      <c r="C23" s="6">
        <f>C22+(Dateneingabe!$K$22*12)</f>
        <v>15624</v>
      </c>
      <c r="E23" s="6">
        <f>E22+(E22*Dateneingabe!$Q$11/100)</f>
        <v>0.55634942087897021</v>
      </c>
      <c r="F23">
        <f>(E23*Dateneingabe!$Q$17)-(E23*Dateneingabe!$Q$17*0.19)+(Dateneingabe!$Q$18*Dateneingabe!$Q$13/100)</f>
        <v>863.76277368634624</v>
      </c>
      <c r="G23" s="6">
        <f t="shared" si="0"/>
        <v>12461.199164724805</v>
      </c>
    </row>
    <row r="24" spans="1:7" x14ac:dyDescent="0.35">
      <c r="A24">
        <v>19</v>
      </c>
      <c r="B24">
        <f>B23+(Dateneingabe!$D$17+Dateneingabe!$D$18+Dateneingabe!$D$19)</f>
        <v>12412.5</v>
      </c>
      <c r="C24" s="6">
        <f>C23+(Dateneingabe!$K$22*12)</f>
        <v>16492</v>
      </c>
      <c r="E24" s="6">
        <f>E23+(E23*Dateneingabe!$Q$11/100)</f>
        <v>0.57582165060973423</v>
      </c>
      <c r="F24">
        <f>(E24*Dateneingabe!$Q$17)-(E24*Dateneingabe!$Q$17*0.19)+(Dateneingabe!$Q$18*Dateneingabe!$Q$13/100)</f>
        <v>888.60447076536843</v>
      </c>
      <c r="G24" s="6">
        <f t="shared" si="0"/>
        <v>13349.803635490174</v>
      </c>
    </row>
    <row r="25" spans="1:7" x14ac:dyDescent="0.35">
      <c r="A25">
        <v>20</v>
      </c>
      <c r="B25">
        <f>B24+(Dateneingabe!$D$17+Dateneingabe!$D$18+Dateneingabe!$D$19)</f>
        <v>12710</v>
      </c>
      <c r="C25" s="6">
        <f>C24+(Dateneingabe!$K$22*12)</f>
        <v>17360</v>
      </c>
      <c r="E25" s="6">
        <f>E24+(E24*Dateneingabe!$Q$11/100)</f>
        <v>0.59597540838107488</v>
      </c>
      <c r="F25">
        <f>(E25*Dateneingabe!$Q$17)-(E25*Dateneingabe!$Q$17*0.19)+(Dateneingabe!$Q$18*Dateneingabe!$Q$13/100)</f>
        <v>914.31562724215632</v>
      </c>
      <c r="G25" s="6">
        <f t="shared" si="0"/>
        <v>14264.119262732331</v>
      </c>
    </row>
    <row r="27" spans="1:7" x14ac:dyDescent="0.35">
      <c r="F27">
        <f>SUM(F6:F25)</f>
        <v>14264.119262732331</v>
      </c>
    </row>
  </sheetData>
  <pageMargins left="0.7" right="0.7" top="0.78740157499999996" bottom="0.78740157499999996"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Dateneingabe</vt:lpstr>
      <vt:lpstr>Grafiken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Heizung mieten</dc:title>
  <dc:creator>Maik Hanau</dc:creator>
  <cp:lastModifiedBy>Maik Hanau</cp:lastModifiedBy>
  <dcterms:created xsi:type="dcterms:W3CDTF">2021-08-06T10:34:07Z</dcterms:created>
  <dcterms:modified xsi:type="dcterms:W3CDTF">2021-10-05T16:19:54Z</dcterms:modified>
</cp:coreProperties>
</file>