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Fachwerk-Videos\Dateien\"/>
    </mc:Choice>
  </mc:AlternateContent>
  <bookViews>
    <workbookView xWindow="0" yWindow="0" windowWidth="38400" windowHeight="17850"/>
  </bookViews>
  <sheets>
    <sheet name="Dateneingabe" sheetId="1" r:id="rId1"/>
    <sheet name="Grafike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25" i="1"/>
  <c r="D24" i="1" s="1"/>
  <c r="F27" i="2" l="1"/>
  <c r="D29" i="1"/>
  <c r="H12" i="2" l="1"/>
  <c r="H13" i="2"/>
  <c r="H11" i="2"/>
  <c r="H8" i="2"/>
  <c r="H14" i="2"/>
  <c r="H15" i="2"/>
  <c r="H7" i="2"/>
  <c r="H6" i="2"/>
  <c r="H9" i="2"/>
  <c r="H10" i="2"/>
  <c r="F26" i="2"/>
  <c r="F30" i="2"/>
  <c r="F29" i="2"/>
  <c r="F28" i="2"/>
  <c r="I15" i="1"/>
  <c r="I19" i="1" s="1"/>
  <c r="I9" i="1"/>
  <c r="I10" i="1" l="1"/>
  <c r="C6" i="2"/>
  <c r="B6" i="2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I17" i="1"/>
  <c r="I21" i="1" s="1"/>
  <c r="K19" i="1"/>
  <c r="I16" i="1"/>
  <c r="I20" i="1" s="1"/>
  <c r="C7" i="2" l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F17" i="2"/>
  <c r="F20" i="2"/>
  <c r="F9" i="2"/>
  <c r="F10" i="2"/>
  <c r="F11" i="2"/>
  <c r="F15" i="2"/>
  <c r="F16" i="2"/>
  <c r="F18" i="2"/>
  <c r="F19" i="2"/>
  <c r="F21" i="2"/>
  <c r="F22" i="2"/>
  <c r="F23" i="2"/>
  <c r="F24" i="2"/>
  <c r="F25" i="2"/>
  <c r="F6" i="2"/>
  <c r="F7" i="2"/>
  <c r="F8" i="2"/>
  <c r="F12" i="2"/>
  <c r="F13" i="2"/>
  <c r="F14" i="2"/>
  <c r="K20" i="1"/>
  <c r="K21" i="1"/>
  <c r="D6" i="2"/>
  <c r="K6" i="2" s="1"/>
  <c r="D20" i="1"/>
  <c r="C26" i="2" l="1"/>
  <c r="C27" i="2" s="1"/>
  <c r="C28" i="2" s="1"/>
  <c r="C29" i="2" s="1"/>
  <c r="C30" i="2" s="1"/>
  <c r="H32" i="1"/>
  <c r="G6" i="2"/>
  <c r="I6" i="2"/>
  <c r="E6" i="2"/>
  <c r="D7" i="2"/>
  <c r="K7" i="2" s="1"/>
  <c r="G7" i="2" l="1"/>
  <c r="I7" i="2"/>
  <c r="D8" i="2"/>
  <c r="K8" i="2" s="1"/>
  <c r="E7" i="2"/>
  <c r="I8" i="2" l="1"/>
  <c r="G8" i="2"/>
  <c r="E8" i="2"/>
  <c r="D9" i="2"/>
  <c r="K9" i="2" s="1"/>
  <c r="G9" i="2" l="1"/>
  <c r="I9" i="2"/>
  <c r="D10" i="2"/>
  <c r="K10" i="2" s="1"/>
  <c r="E9" i="2"/>
  <c r="I10" i="2" l="1"/>
  <c r="G10" i="2"/>
  <c r="E10" i="2"/>
  <c r="D11" i="2"/>
  <c r="K11" i="2" s="1"/>
  <c r="G11" i="2" l="1"/>
  <c r="I11" i="2"/>
  <c r="D12" i="2"/>
  <c r="K12" i="2" s="1"/>
  <c r="E11" i="2"/>
  <c r="I12" i="2" l="1"/>
  <c r="G12" i="2"/>
  <c r="E12" i="2"/>
  <c r="D13" i="2"/>
  <c r="K13" i="2" s="1"/>
  <c r="G13" i="2" l="1"/>
  <c r="I13" i="2"/>
  <c r="D14" i="2"/>
  <c r="K14" i="2" s="1"/>
  <c r="E13" i="2"/>
  <c r="I14" i="2" l="1"/>
  <c r="G14" i="2"/>
  <c r="E14" i="2"/>
  <c r="D15" i="2"/>
  <c r="K15" i="2" s="1"/>
  <c r="G15" i="2" l="1"/>
  <c r="I15" i="2"/>
  <c r="D16" i="2"/>
  <c r="K16" i="2" s="1"/>
  <c r="E15" i="2"/>
  <c r="I16" i="2" l="1"/>
  <c r="G16" i="2"/>
  <c r="E16" i="2"/>
  <c r="D17" i="2"/>
  <c r="K17" i="2" s="1"/>
  <c r="G17" i="2" l="1"/>
  <c r="I17" i="2"/>
  <c r="D18" i="2"/>
  <c r="K18" i="2" s="1"/>
  <c r="E17" i="2"/>
  <c r="G18" i="2" l="1"/>
  <c r="I18" i="2"/>
  <c r="E18" i="2"/>
  <c r="D19" i="2"/>
  <c r="K19" i="2" s="1"/>
  <c r="I19" i="2" l="1"/>
  <c r="G19" i="2"/>
  <c r="D20" i="2"/>
  <c r="K20" i="2" s="1"/>
  <c r="E19" i="2"/>
  <c r="I20" i="2" l="1"/>
  <c r="G20" i="2"/>
  <c r="E20" i="2"/>
  <c r="D21" i="2"/>
  <c r="K21" i="2" s="1"/>
  <c r="G21" i="2" l="1"/>
  <c r="I21" i="2"/>
  <c r="D22" i="2"/>
  <c r="K22" i="2" s="1"/>
  <c r="E21" i="2"/>
  <c r="I22" i="2" l="1"/>
  <c r="G22" i="2"/>
  <c r="E22" i="2"/>
  <c r="D23" i="2"/>
  <c r="K23" i="2" s="1"/>
  <c r="G23" i="2" l="1"/>
  <c r="I23" i="2"/>
  <c r="D24" i="2"/>
  <c r="K24" i="2" s="1"/>
  <c r="E23" i="2"/>
  <c r="I24" i="2" l="1"/>
  <c r="G24" i="2"/>
  <c r="E24" i="2"/>
  <c r="D25" i="2"/>
  <c r="K25" i="2" s="1"/>
  <c r="H34" i="1" s="1"/>
  <c r="G25" i="2" l="1"/>
  <c r="I25" i="2"/>
  <c r="H33" i="1" s="1"/>
  <c r="L36" i="1" s="1"/>
  <c r="D26" i="2"/>
  <c r="K26" i="2" s="1"/>
  <c r="E25" i="2"/>
  <c r="I26" i="2" l="1"/>
  <c r="G26" i="2"/>
  <c r="E26" i="2"/>
  <c r="D27" i="2"/>
  <c r="K27" i="2" s="1"/>
  <c r="G27" i="2" l="1"/>
  <c r="I27" i="2"/>
  <c r="D28" i="2"/>
  <c r="K28" i="2" s="1"/>
  <c r="E27" i="2"/>
  <c r="I28" i="2" l="1"/>
  <c r="G28" i="2"/>
  <c r="E28" i="2"/>
  <c r="D29" i="2"/>
  <c r="K29" i="2" s="1"/>
  <c r="G29" i="2" l="1"/>
  <c r="I29" i="2"/>
  <c r="D30" i="2"/>
  <c r="K30" i="2" s="1"/>
  <c r="E29" i="2"/>
  <c r="I30" i="2" l="1"/>
  <c r="G30" i="2"/>
  <c r="E30" i="2"/>
</calcChain>
</file>

<file path=xl/comments1.xml><?xml version="1.0" encoding="utf-8"?>
<comments xmlns="http://schemas.openxmlformats.org/spreadsheetml/2006/main">
  <authors>
    <author>Maik Hanau</author>
  </authors>
  <commentList>
    <comment ref="D9" authorId="0" shapeId="0">
      <text>
        <r>
          <rPr>
            <b/>
            <sz val="9"/>
            <color indexed="81"/>
            <rFont val="Segoe UI"/>
            <family val="2"/>
          </rPr>
          <t>Euer jährlicher Stromverbrauch (im Durchschnitt)</t>
        </r>
      </text>
    </comment>
    <comment ref="D10" authorId="0" shapeId="0">
      <text>
        <r>
          <rPr>
            <b/>
            <sz val="9"/>
            <color indexed="81"/>
            <rFont val="Segoe UI"/>
            <family val="2"/>
          </rPr>
          <t>Euer aktueller Strompreis</t>
        </r>
      </text>
    </comment>
    <comment ref="D11" authorId="0" shapeId="0">
      <text>
        <r>
          <rPr>
            <b/>
            <sz val="9"/>
            <color indexed="81"/>
            <rFont val="Segoe UI"/>
            <family val="2"/>
          </rPr>
          <t>Preissteigerung für Strom pro Jahr - liegt aktuell bei rund 4%</t>
        </r>
      </text>
    </comment>
    <comment ref="D12" authorId="0" shapeId="0">
      <text>
        <r>
          <rPr>
            <b/>
            <sz val="9"/>
            <color indexed="81"/>
            <rFont val="Segoe UI"/>
            <family val="2"/>
          </rPr>
          <t>Die aktuelle EEG Einspeisevergütung</t>
        </r>
      </text>
    </comment>
    <comment ref="D15" authorId="0" shapeId="0">
      <text>
        <r>
          <rPr>
            <b/>
            <sz val="9"/>
            <color indexed="81"/>
            <rFont val="Segoe UI"/>
            <family val="2"/>
          </rPr>
          <t>Die installierte Leistung eurer PV-Anlage</t>
        </r>
      </text>
    </comment>
    <comment ref="D16" authorId="0" shapeId="0">
      <text>
        <r>
          <rPr>
            <b/>
            <sz val="9"/>
            <color indexed="81"/>
            <rFont val="Segoe UI"/>
            <family val="2"/>
          </rPr>
          <t>Hier muss der "Eigenverbrauch" angegeben werden - NICHT der Autarkiegrad!
Werte könnt ihr unter Anderem hier ermitteln:
https://solar.htw-berlin.de/rechner/unabhaengigkeitsrechner/</t>
        </r>
      </text>
    </comment>
    <comment ref="D17" authorId="0" shapeId="0">
      <text>
        <r>
          <rPr>
            <b/>
            <sz val="9"/>
            <color indexed="81"/>
            <rFont val="Segoe UI"/>
            <family val="2"/>
          </rPr>
          <t>Hier sind die "Standard" Betriebskosten der angegebenen PV-Anlage angegeben.
Im Durchschnitt rechnet man mit 1,5% bis 2% vom Anlagenwert (hier wird mit 1,75% gerechnet)</t>
        </r>
      </text>
    </comment>
    <comment ref="D19" authorId="0" shapeId="0">
      <text>
        <r>
          <rPr>
            <b/>
            <sz val="9"/>
            <color indexed="81"/>
            <rFont val="Segoe UI"/>
            <family val="2"/>
          </rPr>
          <t>Hier werden die Gesamtkosten der PV-Anlage angegen - diese stammen am besten direkt aus den Angeboten</t>
        </r>
      </text>
    </comment>
    <comment ref="D20" authorId="0" shapeId="0">
      <text>
        <r>
          <rPr>
            <b/>
            <sz val="9"/>
            <color indexed="81"/>
            <rFont val="Segoe UI"/>
            <family val="2"/>
          </rPr>
          <t>Das ist die "grobe" Amortisationszeit bis sich die Investition in die PV Anlage gerechnet hat</t>
        </r>
      </text>
    </comment>
    <comment ref="D24" authorId="0" shapeId="0">
      <text>
        <r>
          <rPr>
            <b/>
            <sz val="9"/>
            <color indexed="81"/>
            <rFont val="Segoe UI"/>
            <family val="2"/>
          </rPr>
          <t>Dies ist die "geschätzte" monatliche Finanzierungsrate für einen Kredit über 10 Jahre.
Hier kann natürlich auch ein eigener Wert angegeben werden.</t>
        </r>
      </text>
    </comment>
    <comment ref="D25" authorId="0" shapeId="0">
      <text>
        <r>
          <rPr>
            <b/>
            <sz val="9"/>
            <color indexed="81"/>
            <rFont val="Segoe UI"/>
            <family val="2"/>
          </rPr>
          <t>Das sind die Kosten, die der Kredit (in Bezug auf den effektiven Jahreszins) am Ende verursacht.
Man liegt im "Regelfall" zwischen 5% und 7% vom Kreditvolumen.
Wenn ihr die Kosten für euren Kredit sehen wollt, multipliziert einfach die monatliche Rate mit der Laufzeit (10 Jahre = 240 Monate)</t>
        </r>
      </text>
    </comment>
    <comment ref="D28" authorId="0" shapeId="0">
      <text>
        <r>
          <rPr>
            <b/>
            <sz val="9"/>
            <color indexed="81"/>
            <rFont val="Segoe UI"/>
            <family val="2"/>
          </rPr>
          <t>Hier tragt ihr die euch angebotene Rate für die Miete der oben angegeben Anlage ein</t>
        </r>
      </text>
    </comment>
    <comment ref="D29" authorId="0" shapeId="0">
      <text>
        <r>
          <rPr>
            <b/>
            <sz val="9"/>
            <color indexed="81"/>
            <rFont val="Segoe UI"/>
            <family val="2"/>
          </rPr>
          <t>Der Wert ist nur zur Info - da seht ihr, was ihr letzten Endes über 20 Jahre nur für die Anlage bezahlt</t>
        </r>
      </text>
    </comment>
  </commentList>
</comments>
</file>

<file path=xl/sharedStrings.xml><?xml version="1.0" encoding="utf-8"?>
<sst xmlns="http://schemas.openxmlformats.org/spreadsheetml/2006/main" count="76" uniqueCount="56">
  <si>
    <t>https://www.youtube.com/c/DerFachwerker</t>
  </si>
  <si>
    <t>EUR</t>
  </si>
  <si>
    <r>
      <t>Maik Hanau (</t>
    </r>
    <r>
      <rPr>
        <i/>
        <sz val="11"/>
        <color theme="1"/>
        <rFont val="Calibri"/>
        <family val="2"/>
        <scheme val="minor"/>
      </rPr>
      <t>Der Fachwerker</t>
    </r>
    <r>
      <rPr>
        <sz val="11"/>
        <color theme="1"/>
        <rFont val="Calibri"/>
        <family val="2"/>
        <scheme val="minor"/>
      </rPr>
      <t>)</t>
    </r>
  </si>
  <si>
    <t>https://www.der-fachwerker-saniert.de/tool_downloads</t>
  </si>
  <si>
    <t>1.0</t>
  </si>
  <si>
    <t xml:space="preserve">Autor: </t>
  </si>
  <si>
    <t xml:space="preserve">Download: </t>
  </si>
  <si>
    <t xml:space="preserve">YouTube: </t>
  </si>
  <si>
    <t xml:space="preserve">Version: </t>
  </si>
  <si>
    <t>kWp</t>
  </si>
  <si>
    <t>Jahre</t>
  </si>
  <si>
    <t>Datentabelle - Entwicklung der Kosten über 20 Jahre</t>
  </si>
  <si>
    <t>EUR/kWh</t>
  </si>
  <si>
    <t>%/Jahr</t>
  </si>
  <si>
    <t>%</t>
  </si>
  <si>
    <t>Cent/kWh</t>
  </si>
  <si>
    <t xml:space="preserve">Eigenverbrauch: </t>
  </si>
  <si>
    <t xml:space="preserve">Einspeisung: </t>
  </si>
  <si>
    <t xml:space="preserve">Einsparpotential: </t>
  </si>
  <si>
    <t>EUR/Jahr</t>
  </si>
  <si>
    <t>EUR/Monat</t>
  </si>
  <si>
    <t>Einsparungen</t>
  </si>
  <si>
    <t xml:space="preserve">Stromverbrauch: </t>
  </si>
  <si>
    <t>kWh/Jahr</t>
  </si>
  <si>
    <t xml:space="preserve">Stromkosten: </t>
  </si>
  <si>
    <t xml:space="preserve">Strom-Preissteigerung: </t>
  </si>
  <si>
    <t xml:space="preserve">Aktuelle Stromkosten: </t>
  </si>
  <si>
    <t xml:space="preserve">PV-Leistung: </t>
  </si>
  <si>
    <t xml:space="preserve">Netzbezug: </t>
  </si>
  <si>
    <t xml:space="preserve">Betriebskosten: </t>
  </si>
  <si>
    <t xml:space="preserve">Einspeisevergütung: </t>
  </si>
  <si>
    <t xml:space="preserve">Rest-Stromkosten: </t>
  </si>
  <si>
    <t xml:space="preserve">Anlagenkosten: </t>
  </si>
  <si>
    <t xml:space="preserve">Amortisation: </t>
  </si>
  <si>
    <t>Stromkosten</t>
  </si>
  <si>
    <t xml:space="preserve">Finanzierungsrate: </t>
  </si>
  <si>
    <t xml:space="preserve">Kreditkosten: </t>
  </si>
  <si>
    <t>EUR Gesamt</t>
  </si>
  <si>
    <t>Abzahlung PV Anlage</t>
  </si>
  <si>
    <t>Strom Summe</t>
  </si>
  <si>
    <t>Stromkosten mit PV</t>
  </si>
  <si>
    <t>Strom m PV Summe</t>
  </si>
  <si>
    <t>Finanzierung</t>
  </si>
  <si>
    <t>PV Anlage finanziert</t>
  </si>
  <si>
    <t xml:space="preserve">Mietkosten: </t>
  </si>
  <si>
    <t>PV Anlage gemietet</t>
  </si>
  <si>
    <t xml:space="preserve">Gesamtkosten Miete: </t>
  </si>
  <si>
    <t>Miete</t>
  </si>
  <si>
    <t>Photovoltaik-Anlage</t>
  </si>
  <si>
    <t>Grundwerte</t>
  </si>
  <si>
    <t>Eure Stromkosten (ohne PV-Anlage) für die nächsten 20 Jahre:</t>
  </si>
  <si>
    <r>
      <t xml:space="preserve">So viel würdet ihr mit einer </t>
    </r>
    <r>
      <rPr>
        <b/>
        <sz val="11"/>
        <color theme="1"/>
        <rFont val="Calibri"/>
        <family val="2"/>
        <scheme val="minor"/>
      </rPr>
      <t>finanzierten PV-Anlage</t>
    </r>
    <r>
      <rPr>
        <sz val="11"/>
        <color theme="1"/>
        <rFont val="Calibri"/>
        <family val="2"/>
        <scheme val="minor"/>
      </rPr>
      <t xml:space="preserve"> bezahlen</t>
    </r>
  </si>
  <si>
    <r>
      <t xml:space="preserve">So viel kostet euch die </t>
    </r>
    <r>
      <rPr>
        <b/>
        <sz val="11"/>
        <color theme="1"/>
        <rFont val="Calibri"/>
        <family val="2"/>
        <scheme val="minor"/>
      </rPr>
      <t>gemietete PV-Anlage</t>
    </r>
    <r>
      <rPr>
        <sz val="11"/>
        <color theme="1"/>
        <rFont val="Calibri"/>
        <family val="2"/>
        <scheme val="minor"/>
      </rPr>
      <t xml:space="preserve"> im gleichen Zeitraum:</t>
    </r>
  </si>
  <si>
    <r>
      <rPr>
        <b/>
        <sz val="11"/>
        <color theme="1"/>
        <rFont val="Calibri"/>
        <family val="2"/>
        <scheme val="minor"/>
      </rPr>
      <t xml:space="preserve">Resultat: </t>
    </r>
    <r>
      <rPr>
        <sz val="11"/>
        <color theme="1"/>
        <rFont val="Calibri"/>
        <family val="2"/>
        <scheme val="minor"/>
      </rPr>
      <t>Wenn ihr unter den eingegeben Umständen eine PV-Anlage mietet, kostet euch die Unterschrift insgesamt</t>
    </r>
  </si>
  <si>
    <t>Berechnungstool zum Video "Warum sich eine gemietete PV-Anlage nicht rentiert"</t>
  </si>
  <si>
    <t>Info-Werte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</si>
</sst>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b/>
      <sz val="11"/>
      <color rgb="FFFF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1"/>
    <xf numFmtId="0" fontId="1" fillId="0" borderId="0" xfId="0" applyFont="1"/>
    <xf numFmtId="2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2" borderId="0" xfId="0" applyNumberFormat="1" applyFill="1" applyAlignment="1">
      <alignment horizontal="center"/>
    </xf>
    <xf numFmtId="164" fontId="0" fillId="0" borderId="0" xfId="0" applyNumberFormat="1"/>
    <xf numFmtId="3" fontId="0" fillId="0" borderId="0" xfId="0" applyNumberFormat="1"/>
    <xf numFmtId="3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0" applyNumberFormat="1"/>
    <xf numFmtId="3" fontId="0" fillId="2" borderId="0" xfId="0" applyNumberFormat="1" applyFill="1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0" xfId="0" applyFont="1" applyAlignment="1">
      <alignment horizontal="right"/>
    </xf>
    <xf numFmtId="0" fontId="0" fillId="0" borderId="0" xfId="0" applyBorder="1" applyAlignment="1">
      <alignment horizontal="right"/>
    </xf>
    <xf numFmtId="3" fontId="0" fillId="2" borderId="0" xfId="0" applyNumberFormat="1" applyFill="1" applyBorder="1" applyAlignment="1">
      <alignment horizontal="center"/>
    </xf>
    <xf numFmtId="0" fontId="0" fillId="0" borderId="0" xfId="0" applyBorder="1"/>
    <xf numFmtId="2" fontId="0" fillId="0" borderId="0" xfId="0" applyNumberFormat="1" applyBorder="1"/>
    <xf numFmtId="0" fontId="0" fillId="2" borderId="0" xfId="0" applyNumberFormat="1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0" fillId="0" borderId="0" xfId="0" applyBorder="1" applyAlignment="1">
      <alignment horizontal="center"/>
    </xf>
    <xf numFmtId="3" fontId="7" fillId="0" borderId="0" xfId="0" applyNumberFormat="1" applyFont="1"/>
    <xf numFmtId="0" fontId="7" fillId="0" borderId="0" xfId="0" applyFont="1"/>
    <xf numFmtId="3" fontId="8" fillId="0" borderId="0" xfId="0" applyNumberFormat="1" applyFont="1"/>
    <xf numFmtId="0" fontId="8" fillId="0" borderId="0" xfId="0" applyFont="1"/>
    <xf numFmtId="3" fontId="9" fillId="0" borderId="0" xfId="0" applyNumberFormat="1" applyFont="1"/>
    <xf numFmtId="0" fontId="9" fillId="0" borderId="0" xfId="0" applyFont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Gegenüberstellung der Kosten unterschiedlicher Finanzierungsmodelle für die PV-Anlage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6362458393101949E-2"/>
          <c:y val="6.6057796017839135E-2"/>
          <c:w val="0.94101048943907817"/>
          <c:h val="0.86105804951734144"/>
        </c:manualLayout>
      </c:layout>
      <c:lineChart>
        <c:grouping val="standard"/>
        <c:varyColors val="0"/>
        <c:ser>
          <c:idx val="0"/>
          <c:order val="0"/>
          <c:tx>
            <c:strRef>
              <c:f>Grafiken!$C$5</c:f>
              <c:strCache>
                <c:ptCount val="1"/>
                <c:pt idx="0">
                  <c:v>Strom Summe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Grafiken!$C$6:$C$30</c:f>
              <c:numCache>
                <c:formatCode>#,##0</c:formatCode>
                <c:ptCount val="25"/>
                <c:pt idx="0">
                  <c:v>1700.0000000000002</c:v>
                </c:pt>
                <c:pt idx="1">
                  <c:v>3468.0000000000005</c:v>
                </c:pt>
                <c:pt idx="2">
                  <c:v>5306.7200000000012</c:v>
                </c:pt>
                <c:pt idx="3">
                  <c:v>7218.988800000001</c:v>
                </c:pt>
                <c:pt idx="4">
                  <c:v>9207.7483520000005</c:v>
                </c:pt>
                <c:pt idx="5">
                  <c:v>11276.05828608</c:v>
                </c:pt>
                <c:pt idx="6">
                  <c:v>13427.100617523201</c:v>
                </c:pt>
                <c:pt idx="7">
                  <c:v>15664.184642224131</c:v>
                </c:pt>
                <c:pt idx="8">
                  <c:v>17990.752027913095</c:v>
                </c:pt>
                <c:pt idx="9">
                  <c:v>20410.382109029619</c:v>
                </c:pt>
                <c:pt idx="10">
                  <c:v>22926.797393390803</c:v>
                </c:pt>
                <c:pt idx="11">
                  <c:v>25543.869289126436</c:v>
                </c:pt>
                <c:pt idx="12">
                  <c:v>28265.624060691494</c:v>
                </c:pt>
                <c:pt idx="13">
                  <c:v>31096.249023119155</c:v>
                </c:pt>
                <c:pt idx="14">
                  <c:v>34040.098984043922</c:v>
                </c:pt>
                <c:pt idx="15">
                  <c:v>37101.702943405675</c:v>
                </c:pt>
                <c:pt idx="16">
                  <c:v>40285.771061141902</c:v>
                </c:pt>
                <c:pt idx="17">
                  <c:v>43597.201903587578</c:v>
                </c:pt>
                <c:pt idx="18">
                  <c:v>47041.089979731085</c:v>
                </c:pt>
                <c:pt idx="19">
                  <c:v>50622.733578920328</c:v>
                </c:pt>
                <c:pt idx="20">
                  <c:v>54347.642922077139</c:v>
                </c:pt>
                <c:pt idx="21">
                  <c:v>58221.548638960223</c:v>
                </c:pt>
                <c:pt idx="22">
                  <c:v>62250.410584518635</c:v>
                </c:pt>
                <c:pt idx="23">
                  <c:v>66440.427007899387</c:v>
                </c:pt>
                <c:pt idx="24">
                  <c:v>70798.044088215363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89-42DB-8125-7A600310868F}"/>
            </c:ext>
          </c:extLst>
        </c:ser>
        <c:ser>
          <c:idx val="1"/>
          <c:order val="1"/>
          <c:tx>
            <c:strRef>
              <c:f>Grafiken!$G$5</c:f>
              <c:strCache>
                <c:ptCount val="1"/>
                <c:pt idx="0">
                  <c:v>Abzahlung PV Anlage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Grafiken!$G$6:$G$30</c:f>
              <c:numCache>
                <c:formatCode>0.00</c:formatCode>
                <c:ptCount val="25"/>
                <c:pt idx="0">
                  <c:v>16835</c:v>
                </c:pt>
                <c:pt idx="1">
                  <c:v>17713.52</c:v>
                </c:pt>
                <c:pt idx="2">
                  <c:v>18637.300800000001</c:v>
                </c:pt>
                <c:pt idx="3">
                  <c:v>19608.152832</c:v>
                </c:pt>
                <c:pt idx="4">
                  <c:v>20627.958945279999</c:v>
                </c:pt>
                <c:pt idx="5">
                  <c:v>21698.677303091201</c:v>
                </c:pt>
                <c:pt idx="6">
                  <c:v>22822.344395214848</c:v>
                </c:pt>
                <c:pt idx="7">
                  <c:v>24001.078171023444</c:v>
                </c:pt>
                <c:pt idx="8">
                  <c:v>25237.081297864381</c:v>
                </c:pt>
                <c:pt idx="9">
                  <c:v>26532.644549778957</c:v>
                </c:pt>
                <c:pt idx="10">
                  <c:v>27890.150331770117</c:v>
                </c:pt>
                <c:pt idx="11">
                  <c:v>29312.076345040921</c:v>
                </c:pt>
                <c:pt idx="12">
                  <c:v>30800.999398842559</c:v>
                </c:pt>
                <c:pt idx="13">
                  <c:v>32359.599374796264</c:v>
                </c:pt>
                <c:pt idx="14">
                  <c:v>33990.663349788112</c:v>
                </c:pt>
                <c:pt idx="15">
                  <c:v>35697.089883779634</c:v>
                </c:pt>
                <c:pt idx="16">
                  <c:v>37481.89347913082</c:v>
                </c:pt>
                <c:pt idx="17">
                  <c:v>39348.209218296055</c:v>
                </c:pt>
                <c:pt idx="18">
                  <c:v>41299.297587027897</c:v>
                </c:pt>
                <c:pt idx="19">
                  <c:v>43338.549490509016</c:v>
                </c:pt>
                <c:pt idx="20">
                  <c:v>46002.491470129375</c:v>
                </c:pt>
                <c:pt idx="21">
                  <c:v>48761.79112893455</c:v>
                </c:pt>
                <c:pt idx="22">
                  <c:v>51620.262774091934</c:v>
                </c:pt>
                <c:pt idx="23">
                  <c:v>54581.873285055612</c:v>
                </c:pt>
                <c:pt idx="24">
                  <c:v>57650.74821645784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9-42DB-8125-7A600310868F}"/>
            </c:ext>
          </c:extLst>
        </c:ser>
        <c:ser>
          <c:idx val="2"/>
          <c:order val="2"/>
          <c:tx>
            <c:strRef>
              <c:f>Grafiken!$I$5</c:f>
              <c:strCache>
                <c:ptCount val="1"/>
                <c:pt idx="0">
                  <c:v>PV Anlage finanziert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Grafiken!$I$6:$I$30</c:f>
              <c:numCache>
                <c:formatCode>0.00</c:formatCode>
                <c:ptCount val="25"/>
                <c:pt idx="0">
                  <c:v>2527.8000000000002</c:v>
                </c:pt>
                <c:pt idx="1">
                  <c:v>5099.12</c:v>
                </c:pt>
                <c:pt idx="2">
                  <c:v>7715.7007999999996</c:v>
                </c:pt>
                <c:pt idx="3">
                  <c:v>10379.352831999999</c:v>
                </c:pt>
                <c:pt idx="4">
                  <c:v>13091.958945279997</c:v>
                </c:pt>
                <c:pt idx="5">
                  <c:v>15855.477303091197</c:v>
                </c:pt>
                <c:pt idx="6">
                  <c:v>18671.944395214843</c:v>
                </c:pt>
                <c:pt idx="7">
                  <c:v>21543.478171023435</c:v>
                </c:pt>
                <c:pt idx="8">
                  <c:v>24472.281297864371</c:v>
                </c:pt>
                <c:pt idx="9">
                  <c:v>27460.644549778946</c:v>
                </c:pt>
                <c:pt idx="10">
                  <c:v>28818.150331770106</c:v>
                </c:pt>
                <c:pt idx="11">
                  <c:v>30240.07634504091</c:v>
                </c:pt>
                <c:pt idx="12">
                  <c:v>31728.999398842549</c:v>
                </c:pt>
                <c:pt idx="13">
                  <c:v>33287.599374796249</c:v>
                </c:pt>
                <c:pt idx="14">
                  <c:v>34918.663349788098</c:v>
                </c:pt>
                <c:pt idx="15">
                  <c:v>36625.089883779619</c:v>
                </c:pt>
                <c:pt idx="16">
                  <c:v>38409.893479130806</c:v>
                </c:pt>
                <c:pt idx="17">
                  <c:v>40276.20921829604</c:v>
                </c:pt>
                <c:pt idx="18">
                  <c:v>42227.297587027882</c:v>
                </c:pt>
                <c:pt idx="19">
                  <c:v>44266.549490509002</c:v>
                </c:pt>
                <c:pt idx="20">
                  <c:v>46930.49147012936</c:v>
                </c:pt>
                <c:pt idx="21">
                  <c:v>49689.791128934536</c:v>
                </c:pt>
                <c:pt idx="22">
                  <c:v>52548.26277409192</c:v>
                </c:pt>
                <c:pt idx="23">
                  <c:v>55509.873285055597</c:v>
                </c:pt>
                <c:pt idx="24">
                  <c:v>58578.748216457825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89-42DB-8125-7A600310868F}"/>
            </c:ext>
          </c:extLst>
        </c:ser>
        <c:ser>
          <c:idx val="3"/>
          <c:order val="3"/>
          <c:tx>
            <c:strRef>
              <c:f>Grafiken!$K$5</c:f>
              <c:strCache>
                <c:ptCount val="1"/>
                <c:pt idx="0">
                  <c:v>PV Anlage gemietet</c:v>
                </c:pt>
              </c:strCache>
            </c:strRef>
          </c:tx>
          <c:spPr>
            <a:ln w="28575" cap="rnd">
              <a:solidFill>
                <a:schemeClr val="bg2">
                  <a:lumMod val="2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Grafiken!$K$6:$K$30</c:f>
              <c:numCache>
                <c:formatCode>#,##0</c:formatCode>
                <c:ptCount val="25"/>
                <c:pt idx="0" formatCode="General">
                  <c:v>2295</c:v>
                </c:pt>
                <c:pt idx="1">
                  <c:v>4633.5200000000004</c:v>
                </c:pt>
                <c:pt idx="2">
                  <c:v>7017.3008000000009</c:v>
                </c:pt>
                <c:pt idx="3">
                  <c:v>9448.1528320000016</c:v>
                </c:pt>
                <c:pt idx="4">
                  <c:v>11927.958945280001</c:v>
                </c:pt>
                <c:pt idx="5">
                  <c:v>14458.677303091201</c:v>
                </c:pt>
                <c:pt idx="6">
                  <c:v>17042.344395214848</c:v>
                </c:pt>
                <c:pt idx="7">
                  <c:v>19681.078171023444</c:v>
                </c:pt>
                <c:pt idx="8">
                  <c:v>22377.081297864381</c:v>
                </c:pt>
                <c:pt idx="9">
                  <c:v>25132.644549778957</c:v>
                </c:pt>
                <c:pt idx="10">
                  <c:v>27950.150331770117</c:v>
                </c:pt>
                <c:pt idx="11">
                  <c:v>30832.076345040921</c:v>
                </c:pt>
                <c:pt idx="12">
                  <c:v>33780.999398842556</c:v>
                </c:pt>
                <c:pt idx="13">
                  <c:v>36799.599374796257</c:v>
                </c:pt>
                <c:pt idx="14">
                  <c:v>39890.663349788105</c:v>
                </c:pt>
                <c:pt idx="15">
                  <c:v>43057.089883779627</c:v>
                </c:pt>
                <c:pt idx="16">
                  <c:v>46301.893479130813</c:v>
                </c:pt>
                <c:pt idx="17">
                  <c:v>49628.209218296048</c:v>
                </c:pt>
                <c:pt idx="18">
                  <c:v>53039.29758702789</c:v>
                </c:pt>
                <c:pt idx="19">
                  <c:v>56538.549490509009</c:v>
                </c:pt>
                <c:pt idx="20">
                  <c:v>59202.491470129367</c:v>
                </c:pt>
                <c:pt idx="21">
                  <c:v>61961.791128934543</c:v>
                </c:pt>
                <c:pt idx="22">
                  <c:v>64820.262774091927</c:v>
                </c:pt>
                <c:pt idx="23">
                  <c:v>67781.873285055612</c:v>
                </c:pt>
                <c:pt idx="24">
                  <c:v>70850.74821645784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89-42DB-8125-7A6003108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1252511"/>
        <c:axId val="1831252927"/>
      </c:lineChart>
      <c:catAx>
        <c:axId val="18312525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Jahre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31252927"/>
        <c:crosses val="autoZero"/>
        <c:auto val="1"/>
        <c:lblAlgn val="ctr"/>
        <c:lblOffset val="100"/>
        <c:noMultiLvlLbl val="0"/>
      </c:catAx>
      <c:valAx>
        <c:axId val="1831252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Gesamtkosten (EUR)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312525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5.3637314677373031E-2"/>
          <c:y val="6.931544203932441E-2"/>
          <c:w val="8.5779927780939388E-2"/>
          <c:h val="0.103197964874535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146050</xdr:rowOff>
    </xdr:from>
    <xdr:to>
      <xdr:col>2</xdr:col>
      <xdr:colOff>527050</xdr:colOff>
      <xdr:row>6</xdr:row>
      <xdr:rowOff>25400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46050"/>
          <a:ext cx="1428750" cy="95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82827</xdr:colOff>
      <xdr:row>0</xdr:row>
      <xdr:rowOff>30917</xdr:rowOff>
    </xdr:from>
    <xdr:to>
      <xdr:col>18</xdr:col>
      <xdr:colOff>430696</xdr:colOff>
      <xdr:row>45</xdr:row>
      <xdr:rowOff>82825</xdr:rowOff>
    </xdr:to>
    <xdr:graphicFrame macro="">
      <xdr:nvGraphicFramePr>
        <xdr:cNvPr id="6" name="Diagram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youtube.com/c/DerFachwerker" TargetMode="External"/><Relationship Id="rId1" Type="http://schemas.openxmlformats.org/officeDocument/2006/relationships/hyperlink" Target="https://www.der-fachwerker-saniert.de/tool_downloads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M44"/>
  <sheetViews>
    <sheetView tabSelected="1" zoomScale="110" zoomScaleNormal="110" workbookViewId="0">
      <selection activeCell="D9" sqref="D9"/>
    </sheetView>
  </sheetViews>
  <sheetFormatPr baseColWidth="10" defaultRowHeight="14.5" x14ac:dyDescent="0.35"/>
  <cols>
    <col min="1" max="1" width="4.81640625" customWidth="1"/>
    <col min="2" max="2" width="9.453125" customWidth="1"/>
    <col min="3" max="3" width="11.08984375" style="7" customWidth="1"/>
    <col min="4" max="4" width="9.26953125" customWidth="1"/>
    <col min="5" max="5" width="10.26953125" customWidth="1"/>
    <col min="6" max="6" width="3.54296875" customWidth="1"/>
    <col min="7" max="7" width="12.453125" customWidth="1"/>
    <col min="8" max="8" width="9.54296875" customWidth="1"/>
    <col min="9" max="9" width="9" customWidth="1"/>
    <col min="10" max="10" width="11.1796875" customWidth="1"/>
    <col min="11" max="11" width="6.6328125" customWidth="1"/>
    <col min="12" max="12" width="8.26953125" customWidth="1"/>
    <col min="13" max="13" width="7.36328125" customWidth="1"/>
    <col min="14" max="14" width="8" customWidth="1"/>
    <col min="16" max="16" width="9.36328125" customWidth="1"/>
    <col min="17" max="17" width="6.90625" customWidth="1"/>
  </cols>
  <sheetData>
    <row r="2" spans="2:10" ht="18.5" x14ac:dyDescent="0.45">
      <c r="D2" s="1" t="s">
        <v>54</v>
      </c>
    </row>
    <row r="3" spans="2:10" ht="8" customHeight="1" x14ac:dyDescent="0.45">
      <c r="C3" s="8"/>
    </row>
    <row r="4" spans="2:10" x14ac:dyDescent="0.35">
      <c r="D4" s="7" t="s">
        <v>5</v>
      </c>
      <c r="E4" t="s">
        <v>2</v>
      </c>
      <c r="H4" s="5" t="s">
        <v>8</v>
      </c>
      <c r="I4" s="3" t="s">
        <v>4</v>
      </c>
    </row>
    <row r="5" spans="2:10" x14ac:dyDescent="0.35">
      <c r="D5" s="7" t="s">
        <v>6</v>
      </c>
      <c r="E5" s="2" t="s">
        <v>3</v>
      </c>
    </row>
    <row r="6" spans="2:10" x14ac:dyDescent="0.35">
      <c r="D6" s="7" t="s">
        <v>7</v>
      </c>
      <c r="E6" s="2" t="s">
        <v>0</v>
      </c>
    </row>
    <row r="7" spans="2:10" ht="24.5" customHeight="1" x14ac:dyDescent="0.35"/>
    <row r="8" spans="2:10" ht="15.5" x14ac:dyDescent="0.35">
      <c r="B8" s="21"/>
      <c r="C8" s="24" t="s">
        <v>49</v>
      </c>
      <c r="D8" s="25"/>
      <c r="E8" s="21"/>
      <c r="F8" s="21"/>
      <c r="G8" s="21"/>
      <c r="H8" s="24" t="s">
        <v>55</v>
      </c>
      <c r="I8" s="21"/>
      <c r="J8" s="21"/>
    </row>
    <row r="9" spans="2:10" x14ac:dyDescent="0.35">
      <c r="B9" s="21"/>
      <c r="C9" s="19" t="s">
        <v>22</v>
      </c>
      <c r="D9" s="20">
        <v>5000</v>
      </c>
      <c r="E9" s="21" t="s">
        <v>23</v>
      </c>
      <c r="F9" s="21"/>
      <c r="G9" s="21"/>
      <c r="H9" s="19" t="s">
        <v>26</v>
      </c>
      <c r="I9" s="22">
        <f>D9*D10</f>
        <v>1700.0000000000002</v>
      </c>
      <c r="J9" s="21" t="s">
        <v>19</v>
      </c>
    </row>
    <row r="10" spans="2:10" x14ac:dyDescent="0.35">
      <c r="B10" s="21"/>
      <c r="C10" s="19" t="s">
        <v>24</v>
      </c>
      <c r="D10" s="23">
        <v>0.34</v>
      </c>
      <c r="E10" s="21" t="s">
        <v>12</v>
      </c>
      <c r="F10" s="21"/>
      <c r="G10" s="21"/>
      <c r="H10" s="19"/>
      <c r="I10" s="22">
        <f>I9/12</f>
        <v>141.66666666666669</v>
      </c>
      <c r="J10" s="21" t="s">
        <v>20</v>
      </c>
    </row>
    <row r="11" spans="2:10" x14ac:dyDescent="0.35">
      <c r="B11" s="21"/>
      <c r="C11" s="19" t="s">
        <v>25</v>
      </c>
      <c r="D11" s="23">
        <v>4</v>
      </c>
      <c r="E11" s="21" t="s">
        <v>13</v>
      </c>
      <c r="F11" s="21"/>
      <c r="G11" s="21"/>
      <c r="H11" s="19"/>
      <c r="I11" s="21"/>
      <c r="J11" s="21"/>
    </row>
    <row r="12" spans="2:10" x14ac:dyDescent="0.35">
      <c r="B12" s="21"/>
      <c r="C12" s="19" t="s">
        <v>30</v>
      </c>
      <c r="D12" s="23">
        <v>6.5</v>
      </c>
      <c r="E12" s="21" t="s">
        <v>15</v>
      </c>
      <c r="F12" s="21"/>
      <c r="G12" s="21"/>
      <c r="H12" s="19"/>
      <c r="I12" s="21"/>
      <c r="J12" s="21"/>
    </row>
    <row r="13" spans="2:10" x14ac:dyDescent="0.35">
      <c r="D13" s="13"/>
      <c r="H13" s="7"/>
    </row>
    <row r="14" spans="2:10" ht="15.5" x14ac:dyDescent="0.35">
      <c r="C14" s="18" t="s">
        <v>48</v>
      </c>
      <c r="D14" s="13"/>
      <c r="H14" s="7"/>
    </row>
    <row r="15" spans="2:10" x14ac:dyDescent="0.35">
      <c r="C15" s="7" t="s">
        <v>27</v>
      </c>
      <c r="D15" s="10">
        <v>10</v>
      </c>
      <c r="E15" t="s">
        <v>9</v>
      </c>
      <c r="H15" s="7" t="s">
        <v>16</v>
      </c>
      <c r="I15">
        <f>D15*10*D16</f>
        <v>1800</v>
      </c>
      <c r="J15" t="s">
        <v>23</v>
      </c>
    </row>
    <row r="16" spans="2:10" x14ac:dyDescent="0.35">
      <c r="C16" s="7" t="s">
        <v>16</v>
      </c>
      <c r="D16" s="10">
        <v>18</v>
      </c>
      <c r="E16" t="s">
        <v>14</v>
      </c>
      <c r="H16" s="7" t="s">
        <v>17</v>
      </c>
      <c r="I16">
        <f>D15*1000-I15</f>
        <v>8200</v>
      </c>
      <c r="J16" t="s">
        <v>23</v>
      </c>
    </row>
    <row r="17" spans="3:12" x14ac:dyDescent="0.35">
      <c r="C17" s="7" t="s">
        <v>29</v>
      </c>
      <c r="D17" s="16">
        <f>D19*0.0175</f>
        <v>280</v>
      </c>
      <c r="E17" t="s">
        <v>19</v>
      </c>
      <c r="H17" s="7" t="s">
        <v>28</v>
      </c>
      <c r="I17">
        <f>D9-I15</f>
        <v>3200</v>
      </c>
      <c r="J17" t="s">
        <v>23</v>
      </c>
    </row>
    <row r="18" spans="3:12" x14ac:dyDescent="0.35">
      <c r="D18" s="13"/>
    </row>
    <row r="19" spans="3:12" x14ac:dyDescent="0.35">
      <c r="C19" s="7" t="s">
        <v>32</v>
      </c>
      <c r="D19" s="16">
        <v>16000</v>
      </c>
      <c r="E19" t="s">
        <v>1</v>
      </c>
      <c r="H19" s="7" t="s">
        <v>18</v>
      </c>
      <c r="I19">
        <f>I15*D10</f>
        <v>612</v>
      </c>
      <c r="J19" t="s">
        <v>19</v>
      </c>
      <c r="K19" s="11">
        <f>I19/12</f>
        <v>51</v>
      </c>
      <c r="L19" t="s">
        <v>20</v>
      </c>
    </row>
    <row r="20" spans="3:12" x14ac:dyDescent="0.35">
      <c r="C20" s="7" t="s">
        <v>33</v>
      </c>
      <c r="D20" s="17">
        <f>D19/(I19+I20)</f>
        <v>13.973799126637555</v>
      </c>
      <c r="E20" t="s">
        <v>10</v>
      </c>
      <c r="H20" s="7" t="s">
        <v>30</v>
      </c>
      <c r="I20">
        <f>I16*D12/100</f>
        <v>533</v>
      </c>
      <c r="J20" t="s">
        <v>19</v>
      </c>
      <c r="K20" s="11">
        <f>I20/12</f>
        <v>44.416666666666664</v>
      </c>
      <c r="L20" t="s">
        <v>20</v>
      </c>
    </row>
    <row r="21" spans="3:12" x14ac:dyDescent="0.35">
      <c r="D21" s="12"/>
      <c r="H21" s="7" t="s">
        <v>31</v>
      </c>
      <c r="I21">
        <f>I17*D10</f>
        <v>1088</v>
      </c>
      <c r="J21" t="s">
        <v>19</v>
      </c>
      <c r="K21" s="11">
        <f>I21/12</f>
        <v>90.666666666666671</v>
      </c>
      <c r="L21" t="s">
        <v>20</v>
      </c>
    </row>
    <row r="23" spans="3:12" ht="15.5" x14ac:dyDescent="0.35">
      <c r="C23" s="18" t="s">
        <v>42</v>
      </c>
      <c r="D23" s="12"/>
    </row>
    <row r="24" spans="3:12" x14ac:dyDescent="0.35">
      <c r="C24" s="7" t="s">
        <v>35</v>
      </c>
      <c r="D24" s="16">
        <f>(D19+D25)/120</f>
        <v>141.06666666666666</v>
      </c>
      <c r="E24" t="s">
        <v>20</v>
      </c>
    </row>
    <row r="25" spans="3:12" x14ac:dyDescent="0.35">
      <c r="C25" s="7" t="s">
        <v>36</v>
      </c>
      <c r="D25" s="13">
        <f>D19*0.058</f>
        <v>928</v>
      </c>
      <c r="E25" t="s">
        <v>37</v>
      </c>
    </row>
    <row r="27" spans="3:12" ht="15.5" x14ac:dyDescent="0.35">
      <c r="C27" s="18" t="s">
        <v>47</v>
      </c>
    </row>
    <row r="28" spans="3:12" x14ac:dyDescent="0.35">
      <c r="C28" s="7" t="s">
        <v>44</v>
      </c>
      <c r="D28" s="16">
        <v>145</v>
      </c>
      <c r="E28" t="s">
        <v>20</v>
      </c>
    </row>
    <row r="29" spans="3:12" x14ac:dyDescent="0.35">
      <c r="C29" s="7" t="s">
        <v>46</v>
      </c>
      <c r="D29" s="13">
        <f>D28*240</f>
        <v>34800</v>
      </c>
      <c r="E29" t="s">
        <v>1</v>
      </c>
    </row>
    <row r="30" spans="3:12" x14ac:dyDescent="0.35">
      <c r="D30" s="9"/>
    </row>
    <row r="31" spans="3:12" x14ac:dyDescent="0.35">
      <c r="D31" s="9"/>
    </row>
    <row r="32" spans="3:12" x14ac:dyDescent="0.35">
      <c r="D32" s="9"/>
      <c r="G32" s="7" t="s">
        <v>50</v>
      </c>
      <c r="H32" s="30">
        <f>Grafiken!C25</f>
        <v>50622.733578920328</v>
      </c>
      <c r="I32" s="31" t="s">
        <v>1</v>
      </c>
    </row>
    <row r="33" spans="4:13" x14ac:dyDescent="0.35">
      <c r="D33" s="9"/>
      <c r="G33" s="7" t="s">
        <v>51</v>
      </c>
      <c r="H33" s="28">
        <f>Grafiken!I25</f>
        <v>44266.549490509002</v>
      </c>
      <c r="I33" s="29" t="s">
        <v>1</v>
      </c>
    </row>
    <row r="34" spans="4:13" x14ac:dyDescent="0.35">
      <c r="D34" s="9"/>
      <c r="G34" s="7" t="s">
        <v>52</v>
      </c>
      <c r="H34" s="26">
        <f>Grafiken!K25</f>
        <v>56538.549490509009</v>
      </c>
      <c r="I34" s="27" t="s">
        <v>1</v>
      </c>
    </row>
    <row r="35" spans="4:13" x14ac:dyDescent="0.35">
      <c r="D35" s="9"/>
    </row>
    <row r="36" spans="4:13" x14ac:dyDescent="0.35">
      <c r="D36" s="9"/>
      <c r="K36" s="7" t="s">
        <v>53</v>
      </c>
      <c r="L36" s="26">
        <f>H34-H33</f>
        <v>12272.000000000007</v>
      </c>
      <c r="M36" s="27" t="s">
        <v>1</v>
      </c>
    </row>
    <row r="37" spans="4:13" x14ac:dyDescent="0.35">
      <c r="D37" s="9"/>
    </row>
    <row r="38" spans="4:13" x14ac:dyDescent="0.35">
      <c r="D38" s="9"/>
    </row>
    <row r="39" spans="4:13" x14ac:dyDescent="0.35">
      <c r="D39" s="9"/>
    </row>
    <row r="40" spans="4:13" x14ac:dyDescent="0.35">
      <c r="D40" s="9"/>
    </row>
    <row r="41" spans="4:13" x14ac:dyDescent="0.35">
      <c r="D41" s="9"/>
    </row>
    <row r="42" spans="4:13" x14ac:dyDescent="0.35">
      <c r="D42" s="9"/>
    </row>
    <row r="43" spans="4:13" x14ac:dyDescent="0.35">
      <c r="D43" s="9"/>
    </row>
    <row r="44" spans="4:13" x14ac:dyDescent="0.35">
      <c r="D44" s="9"/>
    </row>
  </sheetData>
  <hyperlinks>
    <hyperlink ref="E5" r:id="rId1"/>
    <hyperlink ref="E6" r:id="rId2"/>
  </hyperlinks>
  <pageMargins left="0.25" right="0.25" top="0.75" bottom="0.75" header="0.3" footer="0.3"/>
  <pageSetup paperSize="9" orientation="landscape" horizontalDpi="4294967293" verticalDpi="0" r:id="rId3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1"/>
  <sheetViews>
    <sheetView zoomScale="115" zoomScaleNormal="115" workbookViewId="0">
      <selection activeCell="T30" sqref="T30"/>
    </sheetView>
  </sheetViews>
  <sheetFormatPr baseColWidth="10" defaultRowHeight="14.5" x14ac:dyDescent="0.35"/>
  <cols>
    <col min="1" max="1" width="5.08984375" customWidth="1"/>
    <col min="2" max="2" width="12.08984375" customWidth="1"/>
    <col min="3" max="3" width="13.1796875" customWidth="1"/>
    <col min="4" max="5" width="17.453125" customWidth="1"/>
    <col min="6" max="6" width="12.90625" customWidth="1"/>
    <col min="7" max="7" width="18.54296875" customWidth="1"/>
    <col min="8" max="8" width="16.26953125" customWidth="1"/>
  </cols>
  <sheetData>
    <row r="2" spans="1:11" ht="18.5" x14ac:dyDescent="0.45">
      <c r="B2" s="1"/>
      <c r="C2" s="1"/>
    </row>
    <row r="4" spans="1:11" x14ac:dyDescent="0.35">
      <c r="B4" s="3" t="s">
        <v>11</v>
      </c>
      <c r="C4" s="3"/>
    </row>
    <row r="5" spans="1:11" x14ac:dyDescent="0.35">
      <c r="B5" s="9" t="s">
        <v>34</v>
      </c>
      <c r="C5" s="9" t="s">
        <v>39</v>
      </c>
      <c r="D5" s="9" t="s">
        <v>40</v>
      </c>
      <c r="E5" s="9" t="s">
        <v>41</v>
      </c>
      <c r="F5" s="9" t="s">
        <v>21</v>
      </c>
      <c r="G5" s="9" t="s">
        <v>38</v>
      </c>
      <c r="H5" s="9" t="s">
        <v>42</v>
      </c>
      <c r="I5" s="6" t="s">
        <v>43</v>
      </c>
      <c r="K5" s="9" t="s">
        <v>45</v>
      </c>
    </row>
    <row r="6" spans="1:11" x14ac:dyDescent="0.35">
      <c r="A6">
        <v>1</v>
      </c>
      <c r="B6" s="13">
        <f>Dateneingabe!I9</f>
        <v>1700.0000000000002</v>
      </c>
      <c r="C6" s="13">
        <f>Dateneingabe!I9</f>
        <v>1700.0000000000002</v>
      </c>
      <c r="D6" s="14">
        <f>Dateneingabe!I21</f>
        <v>1088</v>
      </c>
      <c r="E6" s="14">
        <f>D6</f>
        <v>1088</v>
      </c>
      <c r="F6" s="14">
        <f>Dateneingabe!$I$20-Dateneingabe!$D$17</f>
        <v>253</v>
      </c>
      <c r="G6" s="14">
        <f>Dateneingabe!$D$19+D6-F6</f>
        <v>16835</v>
      </c>
      <c r="H6" s="15">
        <f>Dateneingabe!$D$24*12</f>
        <v>1692.8</v>
      </c>
      <c r="I6" s="4">
        <f>D6-F6+H6</f>
        <v>2527.8000000000002</v>
      </c>
      <c r="K6">
        <f>Dateneingabe!$D$28*12+D6-Dateneingabe!$I$20</f>
        <v>2295</v>
      </c>
    </row>
    <row r="7" spans="1:11" x14ac:dyDescent="0.35">
      <c r="A7">
        <v>2</v>
      </c>
      <c r="B7" s="13">
        <f>B6+(B6*Dateneingabe!$D$11/100)</f>
        <v>1768.0000000000002</v>
      </c>
      <c r="C7" s="13">
        <f>C6+B7</f>
        <v>3468.0000000000005</v>
      </c>
      <c r="D7" s="13">
        <f>D6+(D6*Dateneingabe!$D$11/100)</f>
        <v>1131.52</v>
      </c>
      <c r="E7" s="13">
        <f>E6+D7</f>
        <v>2219.52</v>
      </c>
      <c r="F7" s="14">
        <f>Dateneingabe!$I$20-Dateneingabe!$D$17</f>
        <v>253</v>
      </c>
      <c r="G7" s="14">
        <f>G6+D7-F7</f>
        <v>17713.52</v>
      </c>
      <c r="H7" s="15">
        <f>Dateneingabe!$D$24*12</f>
        <v>1692.8</v>
      </c>
      <c r="I7" s="4">
        <f>I6+D7-F7+H7</f>
        <v>5099.12</v>
      </c>
      <c r="K7" s="12">
        <f>K6+Dateneingabe!$D$28*12+D7-Dateneingabe!$I$20</f>
        <v>4633.5200000000004</v>
      </c>
    </row>
    <row r="8" spans="1:11" x14ac:dyDescent="0.35">
      <c r="A8">
        <v>3</v>
      </c>
      <c r="B8" s="13">
        <f>B7+(B7*Dateneingabe!$D$11/100)</f>
        <v>1838.7200000000003</v>
      </c>
      <c r="C8" s="13">
        <f t="shared" ref="C8:C30" si="0">C7+B8</f>
        <v>5306.7200000000012</v>
      </c>
      <c r="D8" s="13">
        <f>D7+(D7*Dateneingabe!$D$11/100)</f>
        <v>1176.7808</v>
      </c>
      <c r="E8" s="13">
        <f t="shared" ref="E8:E30" si="1">E7+D8</f>
        <v>3396.3008</v>
      </c>
      <c r="F8" s="14">
        <f>Dateneingabe!$I$20-Dateneingabe!$D$17</f>
        <v>253</v>
      </c>
      <c r="G8" s="14">
        <f t="shared" ref="G8:G30" si="2">G7+D8-F8</f>
        <v>18637.300800000001</v>
      </c>
      <c r="H8" s="15">
        <f>Dateneingabe!$D$24*12</f>
        <v>1692.8</v>
      </c>
      <c r="I8" s="4">
        <f t="shared" ref="I8:I30" si="3">I7+D8-F8+H8</f>
        <v>7715.7007999999996</v>
      </c>
      <c r="K8" s="12">
        <f>K7+Dateneingabe!$D$28*12+D8-Dateneingabe!$I$20</f>
        <v>7017.3008000000009</v>
      </c>
    </row>
    <row r="9" spans="1:11" x14ac:dyDescent="0.35">
      <c r="A9">
        <v>4</v>
      </c>
      <c r="B9" s="13">
        <f>B8+(B8*Dateneingabe!$D$11/100)</f>
        <v>1912.2688000000003</v>
      </c>
      <c r="C9" s="13">
        <f t="shared" si="0"/>
        <v>7218.988800000001</v>
      </c>
      <c r="D9" s="13">
        <f>D8+(D8*Dateneingabe!$D$11/100)</f>
        <v>1223.852032</v>
      </c>
      <c r="E9" s="13">
        <f t="shared" si="1"/>
        <v>4620.1528319999998</v>
      </c>
      <c r="F9" s="14">
        <f>Dateneingabe!$I$20-Dateneingabe!$D$17</f>
        <v>253</v>
      </c>
      <c r="G9" s="14">
        <f t="shared" si="2"/>
        <v>19608.152832</v>
      </c>
      <c r="H9" s="15">
        <f>Dateneingabe!$D$24*12</f>
        <v>1692.8</v>
      </c>
      <c r="I9" s="4">
        <f t="shared" si="3"/>
        <v>10379.352831999999</v>
      </c>
      <c r="K9" s="12">
        <f>K8+Dateneingabe!$D$28*12+D9-Dateneingabe!$I$20</f>
        <v>9448.1528320000016</v>
      </c>
    </row>
    <row r="10" spans="1:11" x14ac:dyDescent="0.35">
      <c r="A10">
        <v>5</v>
      </c>
      <c r="B10" s="13">
        <f>B9+(B9*Dateneingabe!$D$11/100)</f>
        <v>1988.7595520000002</v>
      </c>
      <c r="C10" s="13">
        <f t="shared" si="0"/>
        <v>9207.7483520000005</v>
      </c>
      <c r="D10" s="13">
        <f>D9+(D9*Dateneingabe!$D$11/100)</f>
        <v>1272.8061132800001</v>
      </c>
      <c r="E10" s="13">
        <f t="shared" si="1"/>
        <v>5892.9589452800001</v>
      </c>
      <c r="F10" s="14">
        <f>Dateneingabe!$I$20-Dateneingabe!$D$17</f>
        <v>253</v>
      </c>
      <c r="G10" s="14">
        <f t="shared" si="2"/>
        <v>20627.958945279999</v>
      </c>
      <c r="H10" s="15">
        <f>Dateneingabe!$D$24*12</f>
        <v>1692.8</v>
      </c>
      <c r="I10" s="4">
        <f t="shared" si="3"/>
        <v>13091.958945279997</v>
      </c>
      <c r="K10" s="12">
        <f>K9+Dateneingabe!$D$28*12+D10-Dateneingabe!$I$20</f>
        <v>11927.958945280001</v>
      </c>
    </row>
    <row r="11" spans="1:11" x14ac:dyDescent="0.35">
      <c r="A11">
        <v>6</v>
      </c>
      <c r="B11" s="13">
        <f>B10+(B10*Dateneingabe!$D$11/100)</f>
        <v>2068.3099340800004</v>
      </c>
      <c r="C11" s="13">
        <f t="shared" si="0"/>
        <v>11276.05828608</v>
      </c>
      <c r="D11" s="13">
        <f>D10+(D10*Dateneingabe!$D$11/100)</f>
        <v>1323.7183578112001</v>
      </c>
      <c r="E11" s="13">
        <f t="shared" si="1"/>
        <v>7216.6773030912</v>
      </c>
      <c r="F11" s="14">
        <f>Dateneingabe!$I$20-Dateneingabe!$D$17</f>
        <v>253</v>
      </c>
      <c r="G11" s="14">
        <f t="shared" si="2"/>
        <v>21698.677303091201</v>
      </c>
      <c r="H11" s="15">
        <f>Dateneingabe!$D$24*12</f>
        <v>1692.8</v>
      </c>
      <c r="I11" s="4">
        <f t="shared" si="3"/>
        <v>15855.477303091197</v>
      </c>
      <c r="K11" s="12">
        <f>K10+Dateneingabe!$D$28*12+D11-Dateneingabe!$I$20</f>
        <v>14458.677303091201</v>
      </c>
    </row>
    <row r="12" spans="1:11" x14ac:dyDescent="0.35">
      <c r="A12">
        <v>7</v>
      </c>
      <c r="B12" s="13">
        <f>B11+(B11*Dateneingabe!$D$11/100)</f>
        <v>2151.0423314432005</v>
      </c>
      <c r="C12" s="13">
        <f t="shared" si="0"/>
        <v>13427.100617523201</v>
      </c>
      <c r="D12" s="13">
        <f>D11+(D11*Dateneingabe!$D$11/100)</f>
        <v>1376.6670921236482</v>
      </c>
      <c r="E12" s="13">
        <f t="shared" si="1"/>
        <v>8593.3443952148482</v>
      </c>
      <c r="F12" s="14">
        <f>Dateneingabe!$I$20-Dateneingabe!$D$17</f>
        <v>253</v>
      </c>
      <c r="G12" s="14">
        <f t="shared" si="2"/>
        <v>22822.344395214848</v>
      </c>
      <c r="H12" s="15">
        <f>Dateneingabe!$D$24*12</f>
        <v>1692.8</v>
      </c>
      <c r="I12" s="4">
        <f t="shared" si="3"/>
        <v>18671.944395214843</v>
      </c>
      <c r="K12" s="12">
        <f>K11+Dateneingabe!$D$28*12+D12-Dateneingabe!$I$20</f>
        <v>17042.344395214848</v>
      </c>
    </row>
    <row r="13" spans="1:11" x14ac:dyDescent="0.35">
      <c r="A13">
        <v>8</v>
      </c>
      <c r="B13" s="13">
        <f>B12+(B12*Dateneingabe!$D$11/100)</f>
        <v>2237.0840247009287</v>
      </c>
      <c r="C13" s="13">
        <f t="shared" si="0"/>
        <v>15664.184642224131</v>
      </c>
      <c r="D13" s="13">
        <f>D12+(D12*Dateneingabe!$D$11/100)</f>
        <v>1431.7337758085941</v>
      </c>
      <c r="E13" s="13">
        <f t="shared" si="1"/>
        <v>10025.078171023442</v>
      </c>
      <c r="F13" s="14">
        <f>Dateneingabe!$I$20-Dateneingabe!$D$17</f>
        <v>253</v>
      </c>
      <c r="G13" s="14">
        <f t="shared" si="2"/>
        <v>24001.078171023444</v>
      </c>
      <c r="H13" s="15">
        <f>Dateneingabe!$D$24*12</f>
        <v>1692.8</v>
      </c>
      <c r="I13" s="4">
        <f t="shared" si="3"/>
        <v>21543.478171023435</v>
      </c>
      <c r="K13" s="12">
        <f>K12+Dateneingabe!$D$28*12+D13-Dateneingabe!$I$20</f>
        <v>19681.078171023444</v>
      </c>
    </row>
    <row r="14" spans="1:11" x14ac:dyDescent="0.35">
      <c r="A14">
        <v>9</v>
      </c>
      <c r="B14" s="13">
        <f>B13+(B13*Dateneingabe!$D$11/100)</f>
        <v>2326.5673856889657</v>
      </c>
      <c r="C14" s="13">
        <f t="shared" si="0"/>
        <v>17990.752027913095</v>
      </c>
      <c r="D14" s="13">
        <f>D13+(D13*Dateneingabe!$D$11/100)</f>
        <v>1489.003126840938</v>
      </c>
      <c r="E14" s="13">
        <f t="shared" si="1"/>
        <v>11514.081297864381</v>
      </c>
      <c r="F14" s="14">
        <f>Dateneingabe!$I$20-Dateneingabe!$D$17</f>
        <v>253</v>
      </c>
      <c r="G14" s="14">
        <f t="shared" si="2"/>
        <v>25237.081297864381</v>
      </c>
      <c r="H14" s="15">
        <f>Dateneingabe!$D$24*12</f>
        <v>1692.8</v>
      </c>
      <c r="I14" s="4">
        <f t="shared" si="3"/>
        <v>24472.281297864371</v>
      </c>
      <c r="K14" s="12">
        <f>K13+Dateneingabe!$D$28*12+D14-Dateneingabe!$I$20</f>
        <v>22377.081297864381</v>
      </c>
    </row>
    <row r="15" spans="1:11" x14ac:dyDescent="0.35">
      <c r="A15">
        <v>10</v>
      </c>
      <c r="B15" s="13">
        <f>B14+(B14*Dateneingabe!$D$11/100)</f>
        <v>2419.6300811165243</v>
      </c>
      <c r="C15" s="13">
        <f t="shared" si="0"/>
        <v>20410.382109029619</v>
      </c>
      <c r="D15" s="13">
        <f>D14+(D14*Dateneingabe!$D$11/100)</f>
        <v>1548.5632519145754</v>
      </c>
      <c r="E15" s="13">
        <f t="shared" si="1"/>
        <v>13062.644549778955</v>
      </c>
      <c r="F15" s="14">
        <f>Dateneingabe!$I$20-Dateneingabe!$D$17</f>
        <v>253</v>
      </c>
      <c r="G15" s="14">
        <f t="shared" si="2"/>
        <v>26532.644549778957</v>
      </c>
      <c r="H15" s="15">
        <f>Dateneingabe!$D$24*12</f>
        <v>1692.8</v>
      </c>
      <c r="I15" s="4">
        <f t="shared" si="3"/>
        <v>27460.644549778946</v>
      </c>
      <c r="K15" s="12">
        <f>K14+Dateneingabe!$D$28*12+D15-Dateneingabe!$I$20</f>
        <v>25132.644549778957</v>
      </c>
    </row>
    <row r="16" spans="1:11" x14ac:dyDescent="0.35">
      <c r="A16">
        <v>11</v>
      </c>
      <c r="B16" s="13">
        <f>B15+(B15*Dateneingabe!$D$11/100)</f>
        <v>2516.4152843611851</v>
      </c>
      <c r="C16" s="13">
        <f t="shared" si="0"/>
        <v>22926.797393390803</v>
      </c>
      <c r="D16" s="13">
        <f>D15+(D15*Dateneingabe!$D$11/100)</f>
        <v>1610.5057819911585</v>
      </c>
      <c r="E16" s="13">
        <f t="shared" si="1"/>
        <v>14673.150331770114</v>
      </c>
      <c r="F16" s="14">
        <f>Dateneingabe!$I$20-Dateneingabe!$D$17</f>
        <v>253</v>
      </c>
      <c r="G16" s="14">
        <f t="shared" si="2"/>
        <v>27890.150331770117</v>
      </c>
      <c r="H16" s="4">
        <v>0</v>
      </c>
      <c r="I16" s="4">
        <f t="shared" si="3"/>
        <v>28818.150331770106</v>
      </c>
      <c r="K16" s="12">
        <f>K15+Dateneingabe!$D$28*12+D16-Dateneingabe!$I$20</f>
        <v>27950.150331770117</v>
      </c>
    </row>
    <row r="17" spans="1:11" x14ac:dyDescent="0.35">
      <c r="A17">
        <v>12</v>
      </c>
      <c r="B17" s="13">
        <f>B16+(B16*Dateneingabe!$D$11/100)</f>
        <v>2617.0718957356326</v>
      </c>
      <c r="C17" s="13">
        <f t="shared" si="0"/>
        <v>25543.869289126436</v>
      </c>
      <c r="D17" s="13">
        <f>D16+(D16*Dateneingabe!$D$11/100)</f>
        <v>1674.9260132708048</v>
      </c>
      <c r="E17" s="13">
        <f t="shared" si="1"/>
        <v>16348.076345040918</v>
      </c>
      <c r="F17" s="14">
        <f>Dateneingabe!$I$20-Dateneingabe!$D$17</f>
        <v>253</v>
      </c>
      <c r="G17" s="14">
        <f t="shared" si="2"/>
        <v>29312.076345040921</v>
      </c>
      <c r="H17" s="4">
        <v>0</v>
      </c>
      <c r="I17" s="4">
        <f t="shared" si="3"/>
        <v>30240.07634504091</v>
      </c>
      <c r="K17" s="12">
        <f>K16+Dateneingabe!$D$28*12+D17-Dateneingabe!$I$20</f>
        <v>30832.076345040921</v>
      </c>
    </row>
    <row r="18" spans="1:11" x14ac:dyDescent="0.35">
      <c r="A18">
        <v>13</v>
      </c>
      <c r="B18" s="13">
        <f>B17+(B17*Dateneingabe!$D$11/100)</f>
        <v>2721.754771565058</v>
      </c>
      <c r="C18" s="13">
        <f t="shared" si="0"/>
        <v>28265.624060691494</v>
      </c>
      <c r="D18" s="13">
        <f>D17+(D17*Dateneingabe!$D$11/100)</f>
        <v>1741.923053801637</v>
      </c>
      <c r="E18" s="13">
        <f t="shared" si="1"/>
        <v>18089.999398842556</v>
      </c>
      <c r="F18" s="14">
        <f>Dateneingabe!$I$20-Dateneingabe!$D$17</f>
        <v>253</v>
      </c>
      <c r="G18" s="14">
        <f t="shared" si="2"/>
        <v>30800.999398842559</v>
      </c>
      <c r="H18" s="4">
        <v>0</v>
      </c>
      <c r="I18" s="4">
        <f t="shared" si="3"/>
        <v>31728.999398842549</v>
      </c>
      <c r="K18" s="12">
        <f>K17+Dateneingabe!$D$28*12+D18-Dateneingabe!$I$20</f>
        <v>33780.999398842556</v>
      </c>
    </row>
    <row r="19" spans="1:11" x14ac:dyDescent="0.35">
      <c r="A19">
        <v>14</v>
      </c>
      <c r="B19" s="13">
        <f>B18+(B18*Dateneingabe!$D$11/100)</f>
        <v>2830.6249624276602</v>
      </c>
      <c r="C19" s="13">
        <f t="shared" si="0"/>
        <v>31096.249023119155</v>
      </c>
      <c r="D19" s="13">
        <f>D18+(D18*Dateneingabe!$D$11/100)</f>
        <v>1811.5999759537026</v>
      </c>
      <c r="E19" s="13">
        <f t="shared" si="1"/>
        <v>19901.599374796257</v>
      </c>
      <c r="F19" s="14">
        <f>Dateneingabe!$I$20-Dateneingabe!$D$17</f>
        <v>253</v>
      </c>
      <c r="G19" s="14">
        <f t="shared" si="2"/>
        <v>32359.599374796264</v>
      </c>
      <c r="H19" s="4">
        <v>0</v>
      </c>
      <c r="I19" s="4">
        <f t="shared" si="3"/>
        <v>33287.599374796249</v>
      </c>
      <c r="K19" s="12">
        <f>K18+Dateneingabe!$D$28*12+D19-Dateneingabe!$I$20</f>
        <v>36799.599374796257</v>
      </c>
    </row>
    <row r="20" spans="1:11" x14ac:dyDescent="0.35">
      <c r="A20">
        <v>15</v>
      </c>
      <c r="B20" s="13">
        <f>B19+(B19*Dateneingabe!$D$11/100)</f>
        <v>2943.8499609247665</v>
      </c>
      <c r="C20" s="13">
        <f t="shared" si="0"/>
        <v>34040.098984043922</v>
      </c>
      <c r="D20" s="13">
        <f>D19+(D19*Dateneingabe!$D$11/100)</f>
        <v>1884.0639749918507</v>
      </c>
      <c r="E20" s="13">
        <f t="shared" si="1"/>
        <v>21785.663349788108</v>
      </c>
      <c r="F20" s="14">
        <f>Dateneingabe!$I$20-Dateneingabe!$D$17</f>
        <v>253</v>
      </c>
      <c r="G20" s="14">
        <f t="shared" si="2"/>
        <v>33990.663349788112</v>
      </c>
      <c r="H20" s="4">
        <v>0</v>
      </c>
      <c r="I20" s="4">
        <f t="shared" si="3"/>
        <v>34918.663349788098</v>
      </c>
      <c r="K20" s="12">
        <f>K19+Dateneingabe!$D$28*12+D20-Dateneingabe!$I$20</f>
        <v>39890.663349788105</v>
      </c>
    </row>
    <row r="21" spans="1:11" x14ac:dyDescent="0.35">
      <c r="A21">
        <v>16</v>
      </c>
      <c r="B21" s="13">
        <f>B20+(B20*Dateneingabe!$D$11/100)</f>
        <v>3061.603959361757</v>
      </c>
      <c r="C21" s="13">
        <f t="shared" si="0"/>
        <v>37101.702943405675</v>
      </c>
      <c r="D21" s="13">
        <f>D20+(D20*Dateneingabe!$D$11/100)</f>
        <v>1959.4265339915248</v>
      </c>
      <c r="E21" s="13">
        <f t="shared" si="1"/>
        <v>23745.089883779634</v>
      </c>
      <c r="F21" s="14">
        <f>Dateneingabe!$I$20-Dateneingabe!$D$17</f>
        <v>253</v>
      </c>
      <c r="G21" s="14">
        <f t="shared" si="2"/>
        <v>35697.089883779634</v>
      </c>
      <c r="H21" s="4">
        <v>0</v>
      </c>
      <c r="I21" s="4">
        <f t="shared" si="3"/>
        <v>36625.089883779619</v>
      </c>
      <c r="K21" s="12">
        <f>K20+Dateneingabe!$D$28*12+D21-Dateneingabe!$I$20</f>
        <v>43057.089883779627</v>
      </c>
    </row>
    <row r="22" spans="1:11" x14ac:dyDescent="0.35">
      <c r="A22">
        <v>17</v>
      </c>
      <c r="B22" s="13">
        <f>B21+(B21*Dateneingabe!$D$11/100)</f>
        <v>3184.0681177362271</v>
      </c>
      <c r="C22" s="13">
        <f t="shared" si="0"/>
        <v>40285.771061141902</v>
      </c>
      <c r="D22" s="13">
        <f>D21+(D21*Dateneingabe!$D$11/100)</f>
        <v>2037.8035953511858</v>
      </c>
      <c r="E22" s="13">
        <f t="shared" si="1"/>
        <v>25782.89347913082</v>
      </c>
      <c r="F22" s="14">
        <f>Dateneingabe!$I$20-Dateneingabe!$D$17</f>
        <v>253</v>
      </c>
      <c r="G22" s="14">
        <f t="shared" si="2"/>
        <v>37481.89347913082</v>
      </c>
      <c r="H22" s="4">
        <v>0</v>
      </c>
      <c r="I22" s="4">
        <f t="shared" si="3"/>
        <v>38409.893479130806</v>
      </c>
      <c r="K22" s="12">
        <f>K21+Dateneingabe!$D$28*12+D22-Dateneingabe!$I$20</f>
        <v>46301.893479130813</v>
      </c>
    </row>
    <row r="23" spans="1:11" x14ac:dyDescent="0.35">
      <c r="A23">
        <v>18</v>
      </c>
      <c r="B23" s="13">
        <f>B22+(B22*Dateneingabe!$D$11/100)</f>
        <v>3311.4308424456763</v>
      </c>
      <c r="C23" s="13">
        <f t="shared" si="0"/>
        <v>43597.201903587578</v>
      </c>
      <c r="D23" s="13">
        <f>D22+(D22*Dateneingabe!$D$11/100)</f>
        <v>2119.315739165233</v>
      </c>
      <c r="E23" s="13">
        <f t="shared" si="1"/>
        <v>27902.209218296055</v>
      </c>
      <c r="F23" s="14">
        <f>Dateneingabe!$I$20-Dateneingabe!$D$17</f>
        <v>253</v>
      </c>
      <c r="G23" s="14">
        <f t="shared" si="2"/>
        <v>39348.209218296055</v>
      </c>
      <c r="H23" s="4">
        <v>0</v>
      </c>
      <c r="I23" s="4">
        <f t="shared" si="3"/>
        <v>40276.20921829604</v>
      </c>
      <c r="K23" s="12">
        <f>K22+Dateneingabe!$D$28*12+D23-Dateneingabe!$I$20</f>
        <v>49628.209218296048</v>
      </c>
    </row>
    <row r="24" spans="1:11" x14ac:dyDescent="0.35">
      <c r="A24">
        <v>19</v>
      </c>
      <c r="B24" s="13">
        <f>B23+(B23*Dateneingabe!$D$11/100)</f>
        <v>3443.8880761435034</v>
      </c>
      <c r="C24" s="13">
        <f t="shared" si="0"/>
        <v>47041.089979731085</v>
      </c>
      <c r="D24" s="13">
        <f>D23+(D23*Dateneingabe!$D$11/100)</f>
        <v>2204.0883687318424</v>
      </c>
      <c r="E24" s="13">
        <f t="shared" si="1"/>
        <v>30106.297587027897</v>
      </c>
      <c r="F24" s="14">
        <f>Dateneingabe!$I$20-Dateneingabe!$D$17</f>
        <v>253</v>
      </c>
      <c r="G24" s="14">
        <f t="shared" si="2"/>
        <v>41299.297587027897</v>
      </c>
      <c r="H24" s="4">
        <v>0</v>
      </c>
      <c r="I24" s="4">
        <f t="shared" si="3"/>
        <v>42227.297587027882</v>
      </c>
      <c r="K24" s="12">
        <f>K23+Dateneingabe!$D$28*12+D24-Dateneingabe!$I$20</f>
        <v>53039.29758702789</v>
      </c>
    </row>
    <row r="25" spans="1:11" x14ac:dyDescent="0.35">
      <c r="A25">
        <v>20</v>
      </c>
      <c r="B25" s="13">
        <f>B24+(B24*Dateneingabe!$D$11/100)</f>
        <v>3581.6435991892436</v>
      </c>
      <c r="C25" s="13">
        <f t="shared" si="0"/>
        <v>50622.733578920328</v>
      </c>
      <c r="D25" s="13">
        <f>D24+(D24*Dateneingabe!$D$11/100)</f>
        <v>2292.2519034811162</v>
      </c>
      <c r="E25" s="13">
        <f t="shared" si="1"/>
        <v>32398.549490509013</v>
      </c>
      <c r="F25" s="14">
        <f>Dateneingabe!$I$20-Dateneingabe!$D$17</f>
        <v>253</v>
      </c>
      <c r="G25" s="14">
        <f t="shared" si="2"/>
        <v>43338.549490509016</v>
      </c>
      <c r="H25" s="4">
        <v>0</v>
      </c>
      <c r="I25" s="4">
        <f t="shared" si="3"/>
        <v>44266.549490509002</v>
      </c>
      <c r="K25" s="12">
        <f>K24+Dateneingabe!$D$28*12+D25-Dateneingabe!$I$20</f>
        <v>56538.549490509009</v>
      </c>
    </row>
    <row r="26" spans="1:11" x14ac:dyDescent="0.35">
      <c r="A26">
        <v>21</v>
      </c>
      <c r="B26" s="13">
        <f>B25+(B25*Dateneingabe!$D$11/100)</f>
        <v>3724.9093431568135</v>
      </c>
      <c r="C26" s="13">
        <f t="shared" si="0"/>
        <v>54347.642922077139</v>
      </c>
      <c r="D26" s="13">
        <f>D25+(D25*Dateneingabe!$D$11/100)</f>
        <v>2383.9419796203611</v>
      </c>
      <c r="E26" s="13">
        <f t="shared" si="1"/>
        <v>34782.491470129375</v>
      </c>
      <c r="F26" s="14">
        <f>-Dateneingabe!$D$17</f>
        <v>-280</v>
      </c>
      <c r="G26" s="14">
        <f t="shared" si="2"/>
        <v>46002.491470129375</v>
      </c>
      <c r="H26" s="4">
        <v>0</v>
      </c>
      <c r="I26" s="4">
        <f t="shared" si="3"/>
        <v>46930.49147012936</v>
      </c>
      <c r="K26" s="12">
        <f>K25+D26+Dateneingabe!D17</f>
        <v>59202.491470129367</v>
      </c>
    </row>
    <row r="27" spans="1:11" x14ac:dyDescent="0.35">
      <c r="A27">
        <v>22</v>
      </c>
      <c r="B27" s="13">
        <f>B26+(B26*Dateneingabe!$D$11/100)</f>
        <v>3873.9057168830859</v>
      </c>
      <c r="C27" s="13">
        <f t="shared" si="0"/>
        <v>58221.548638960223</v>
      </c>
      <c r="D27" s="13">
        <f>D26+(D26*Dateneingabe!$D$11/100)</f>
        <v>2479.2996588051756</v>
      </c>
      <c r="E27" s="13">
        <f t="shared" si="1"/>
        <v>37261.79112893455</v>
      </c>
      <c r="F27" s="14">
        <f>-Dateneingabe!$D$17</f>
        <v>-280</v>
      </c>
      <c r="G27" s="14">
        <f t="shared" si="2"/>
        <v>48761.79112893455</v>
      </c>
      <c r="H27" s="4">
        <v>0</v>
      </c>
      <c r="I27" s="4">
        <f t="shared" si="3"/>
        <v>49689.791128934536</v>
      </c>
      <c r="K27" s="12">
        <f>K26+D27-F27</f>
        <v>61961.791128934543</v>
      </c>
    </row>
    <row r="28" spans="1:11" x14ac:dyDescent="0.35">
      <c r="A28">
        <v>23</v>
      </c>
      <c r="B28" s="13">
        <f>B27+(B27*Dateneingabe!$D$11/100)</f>
        <v>4028.8619455584094</v>
      </c>
      <c r="C28" s="13">
        <f t="shared" si="0"/>
        <v>62250.410584518635</v>
      </c>
      <c r="D28" s="13">
        <f>D27+(D27*Dateneingabe!$D$11/100)</f>
        <v>2578.4716451573827</v>
      </c>
      <c r="E28" s="13">
        <f t="shared" si="1"/>
        <v>39840.262774091934</v>
      </c>
      <c r="F28" s="14">
        <f>-Dateneingabe!$D$17</f>
        <v>-280</v>
      </c>
      <c r="G28" s="14">
        <f t="shared" si="2"/>
        <v>51620.262774091934</v>
      </c>
      <c r="H28" s="4">
        <v>0</v>
      </c>
      <c r="I28" s="4">
        <f t="shared" si="3"/>
        <v>52548.26277409192</v>
      </c>
      <c r="K28" s="12">
        <f t="shared" ref="K28:K30" si="4">K27+D28-F28</f>
        <v>64820.262774091927</v>
      </c>
    </row>
    <row r="29" spans="1:11" x14ac:dyDescent="0.35">
      <c r="A29">
        <v>24</v>
      </c>
      <c r="B29" s="13">
        <f>B28+(B28*Dateneingabe!$D$11/100)</f>
        <v>4190.0164233807454</v>
      </c>
      <c r="C29" s="13">
        <f t="shared" si="0"/>
        <v>66440.427007899387</v>
      </c>
      <c r="D29" s="13">
        <f>D28+(D28*Dateneingabe!$D$11/100)</f>
        <v>2681.6105109636778</v>
      </c>
      <c r="E29" s="13">
        <f t="shared" si="1"/>
        <v>42521.873285055612</v>
      </c>
      <c r="F29" s="14">
        <f>-Dateneingabe!$D$17</f>
        <v>-280</v>
      </c>
      <c r="G29" s="14">
        <f t="shared" si="2"/>
        <v>54581.873285055612</v>
      </c>
      <c r="H29" s="4">
        <v>0</v>
      </c>
      <c r="I29" s="4">
        <f t="shared" si="3"/>
        <v>55509.873285055597</v>
      </c>
      <c r="K29" s="12">
        <f t="shared" si="4"/>
        <v>67781.873285055612</v>
      </c>
    </row>
    <row r="30" spans="1:11" x14ac:dyDescent="0.35">
      <c r="A30">
        <v>25</v>
      </c>
      <c r="B30" s="13">
        <f>B29+(B29*Dateneingabe!$D$11/100)</f>
        <v>4357.6170803159748</v>
      </c>
      <c r="C30" s="13">
        <f t="shared" si="0"/>
        <v>70798.044088215363</v>
      </c>
      <c r="D30" s="13">
        <f>D29+(D29*Dateneingabe!$D$11/100)</f>
        <v>2788.8749314022248</v>
      </c>
      <c r="E30" s="13">
        <f t="shared" si="1"/>
        <v>45310.74821645784</v>
      </c>
      <c r="F30" s="14">
        <f>-Dateneingabe!$D$17</f>
        <v>-280</v>
      </c>
      <c r="G30" s="14">
        <f t="shared" si="2"/>
        <v>57650.74821645784</v>
      </c>
      <c r="H30" s="4">
        <v>0</v>
      </c>
      <c r="I30" s="4">
        <f t="shared" si="3"/>
        <v>58578.748216457825</v>
      </c>
      <c r="K30" s="12">
        <f t="shared" si="4"/>
        <v>70850.74821645784</v>
      </c>
    </row>
    <row r="31" spans="1:11" x14ac:dyDescent="0.35">
      <c r="H31" s="4"/>
    </row>
  </sheetData>
  <pageMargins left="0.7" right="0.7" top="0.78740157499999996" bottom="0.78740157499999996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Dateneingabe</vt:lpstr>
      <vt:lpstr>Grafiken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Heizung mieten</dc:title>
  <dc:creator>Maik Hanau</dc:creator>
  <cp:lastModifiedBy>Maik Hanau</cp:lastModifiedBy>
  <dcterms:created xsi:type="dcterms:W3CDTF">2021-08-06T10:34:07Z</dcterms:created>
  <dcterms:modified xsi:type="dcterms:W3CDTF">2022-06-28T05:35:31Z</dcterms:modified>
</cp:coreProperties>
</file>